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Implementation Roadmap" sheetId="2" state="visible" r:id="rId2"/>
    <sheet name="ADKAR Assessment" sheetId="3" state="visible" r:id="rId3"/>
    <sheet name="Stakeholder Analysis" sheetId="4" state="visible" r:id="rId4"/>
    <sheet name="Org Structure" sheetId="5" state="visible" r:id="rId5"/>
    <sheet name="Cascade Analysis" sheetId="6" state="visible" r:id="rId6"/>
    <sheet name="Communication Plan" sheetId="7" state="visible" r:id="rId7"/>
    <sheet name="Training Plan" sheetId="8" state="visible" r:id="rId8"/>
    <sheet name="Sponsorship Tracker" sheetId="9" state="visible" r:id="rId9"/>
    <sheet name="Resistance Log" sheetId="10" state="visible" r:id="rId10"/>
    <sheet name="KPI Dashboard" sheetId="11" state="visible" r:id="rId11"/>
    <sheet name="Maturity Assessment" sheetId="12" state="visible" r:id="rId12"/>
    <sheet name="CSF Checklist" sheetId="13" state="visible" r:id="rId13"/>
    <sheet name="Risk Register" sheetId="14" state="visible" r:id="rId14"/>
    <sheet name="Change Impact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2F5496"/>
      <sz val="16"/>
    </font>
    <font>
      <b val="1"/>
      <sz val="12"/>
    </font>
    <font>
      <b val="1"/>
      <color rgb="00FFFFFF"/>
      <sz val="11"/>
    </font>
    <font>
      <b val="1"/>
      <color rgb="002F5496"/>
      <sz val="12"/>
    </font>
    <font>
      <b val="1"/>
      <sz val="10"/>
    </font>
    <font>
      <color rgb="00333333"/>
      <sz val="10"/>
    </font>
    <font>
      <b val="1"/>
      <color rgb="002F5496"/>
      <sz val="11"/>
    </font>
    <font>
      <b val="1"/>
      <sz val="9"/>
    </font>
    <font>
      <b val="1"/>
      <color rgb="002F5496"/>
      <sz val="14"/>
    </font>
    <font>
      <i val="1"/>
      <sz val="10"/>
    </font>
    <font>
      <b val="1"/>
    </font>
    <font>
      <name val="Courier New"/>
      <sz val="9"/>
    </font>
  </fonts>
  <fills count="4">
    <fill>
      <patternFill/>
    </fill>
    <fill>
      <patternFill patternType="gray125"/>
    </fill>
    <fill>
      <patternFill patternType="solid">
        <fgColor rgb="002F5496"/>
        <bgColor rgb="002F5496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4" fillId="0" borderId="0" applyAlignment="1" pivotButton="0" quotePrefix="0" xfId="0">
      <alignment horizontal="left"/>
    </xf>
    <xf numFmtId="0" fontId="2" fillId="0" borderId="0" pivotButton="0" quotePrefix="0" xfId="0"/>
    <xf numFmtId="0" fontId="5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7" fillId="0" borderId="0" pivotButton="0" quotePrefix="0" xfId="0"/>
    <xf numFmtId="0" fontId="8" fillId="0" borderId="0" pivotButton="0" quotePrefix="0" xfId="0"/>
    <xf numFmtId="0" fontId="4" fillId="0" borderId="0" pivotButton="0" quotePrefix="0" xfId="0"/>
    <xf numFmtId="0" fontId="6" fillId="0" borderId="0" applyAlignment="1" pivotButton="0" quotePrefix="0" xfId="0">
      <alignment wrapText="1"/>
    </xf>
    <xf numFmtId="0" fontId="9" fillId="0" borderId="0" pivotButton="0" quotePrefix="0" xfId="0"/>
    <xf numFmtId="0" fontId="10" fillId="0" borderId="0" pivotButton="0" quotePrefix="0" xfId="0"/>
    <xf numFmtId="0" fontId="11" fillId="0" borderId="1" applyAlignment="1" pivotButton="0" quotePrefix="0" xfId="0">
      <alignment horizontal="left" vertical="center" wrapText="1"/>
    </xf>
    <xf numFmtId="0" fontId="12" fillId="0" borderId="0" pivotButton="0" quotePrefix="0" xfId="0"/>
    <xf numFmtId="0" fontId="5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2"/>
  <sheetViews>
    <sheetView workbookViewId="0">
      <pane xSplit="7" topLeftCell="H1" activePane="topRight" state="frozen"/>
      <selection pane="topRight" activeCell="A1" sqref="A1"/>
    </sheetView>
  </sheetViews>
  <sheetFormatPr baseColWidth="8" defaultRowHeight="15"/>
  <cols>
    <col width="25" customWidth="1" min="1" max="1"/>
    <col width="18" customWidth="1" min="2" max="2"/>
    <col width="12" customWidth="1" min="3" max="3"/>
    <col width="12" customWidth="1" min="4" max="4"/>
    <col width="45" customWidth="1" min="8" max="8"/>
  </cols>
  <sheetData>
    <row r="1">
      <c r="A1" s="1" t="inlineStr">
        <is>
          <t>OCM IMPLEMENTATION DASHBOARD</t>
        </is>
      </c>
      <c r="H1" s="2" t="inlineStr">
        <is>
          <t>INSTRUCTIONS</t>
        </is>
      </c>
    </row>
    <row r="3">
      <c r="A3" s="3" t="inlineStr">
        <is>
          <t>IMPLEMENTATION PROGRESS</t>
        </is>
      </c>
      <c r="H3" s="4" t="inlineStr">
        <is>
          <t>PURPOSE</t>
        </is>
      </c>
    </row>
    <row r="4">
      <c r="A4" s="5" t="inlineStr">
        <is>
          <t>Phase</t>
        </is>
      </c>
      <c r="B4" s="5" t="inlineStr">
        <is>
          <t>Total Activities</t>
        </is>
      </c>
      <c r="C4" s="5" t="inlineStr">
        <is>
          <t>Completed</t>
        </is>
      </c>
      <c r="D4" s="5" t="inlineStr">
        <is>
          <t>% Complete</t>
        </is>
      </c>
      <c r="H4" s="6" t="inlineStr">
        <is>
          <t>Auto-populated dashboard showing</t>
        </is>
      </c>
    </row>
    <row r="5">
      <c r="A5" s="7" t="inlineStr">
        <is>
          <t>Foundation</t>
        </is>
      </c>
      <c r="B5" s="7">
        <f>COUNTIF('Implementation Roadmap'!B:B,"Foundation")</f>
        <v/>
      </c>
      <c r="C5" s="7">
        <f>COUNTIFS('Implementation Roadmap'!B:B,"Foundation",'Implementation Roadmap'!D:D,"Complete")</f>
        <v/>
      </c>
      <c r="D5" s="8">
        <f>IF(B5=0,"N/A",C5/B5)</f>
        <v/>
      </c>
      <c r="H5" s="6" t="inlineStr">
        <is>
          <t>OCM implementation status across</t>
        </is>
      </c>
    </row>
    <row r="6">
      <c r="A6" s="7" t="inlineStr">
        <is>
          <t>Pilot</t>
        </is>
      </c>
      <c r="B6" s="7">
        <f>COUNTIF('Implementation Roadmap'!B:B,"Pilot")</f>
        <v/>
      </c>
      <c r="C6" s="7">
        <f>COUNTIFS('Implementation Roadmap'!B:B,"Pilot",'Implementation Roadmap'!D:D,"Complete")</f>
        <v/>
      </c>
      <c r="D6" s="8">
        <f>IF(B6=0,"N/A",C6/B6)</f>
        <v/>
      </c>
      <c r="H6" s="6" t="inlineStr">
        <is>
          <t>all assessment areas.</t>
        </is>
      </c>
    </row>
    <row r="7">
      <c r="A7" s="7" t="inlineStr">
        <is>
          <t>Expansion</t>
        </is>
      </c>
      <c r="B7" s="7">
        <f>COUNTIF('Implementation Roadmap'!B:B,"Expansion")</f>
        <v/>
      </c>
      <c r="C7" s="7">
        <f>COUNTIFS('Implementation Roadmap'!B:B,"Expansion",'Implementation Roadmap'!D:D,"Complete")</f>
        <v/>
      </c>
      <c r="D7" s="8">
        <f>IF(B7=0,"N/A",C7/B7)</f>
        <v/>
      </c>
    </row>
    <row r="8">
      <c r="A8" s="7" t="inlineStr">
        <is>
          <t>Optimization</t>
        </is>
      </c>
      <c r="B8" s="7">
        <f>COUNTIF('Implementation Roadmap'!B:B,"Optimization")</f>
        <v/>
      </c>
      <c r="C8" s="7">
        <f>COUNTIFS('Implementation Roadmap'!B:B,"Optimization",'Implementation Roadmap'!D:D,"Complete")</f>
        <v/>
      </c>
      <c r="D8" s="8">
        <f>IF(B8=0,"N/A",C8/B8)</f>
        <v/>
      </c>
      <c r="H8" s="4" t="inlineStr">
        <is>
          <t>DATA SOURCES</t>
        </is>
      </c>
    </row>
    <row r="9">
      <c r="H9" s="6" t="inlineStr">
        <is>
          <t>- Implementation Roadmap progress</t>
        </is>
      </c>
    </row>
    <row r="10">
      <c r="A10" s="3" t="inlineStr">
        <is>
          <t>ADKAR ASSESSMENT SUMMARY</t>
        </is>
      </c>
      <c r="H10" s="6" t="inlineStr">
        <is>
          <t>- ADKAR scores from assessment</t>
        </is>
      </c>
    </row>
    <row r="11">
      <c r="A11" s="5" t="inlineStr">
        <is>
          <t>Element</t>
        </is>
      </c>
      <c r="B11" s="5" t="inlineStr">
        <is>
          <t>Avg Score</t>
        </is>
      </c>
      <c r="C11" s="5" t="inlineStr">
        <is>
          <t>Target</t>
        </is>
      </c>
      <c r="D11" s="5" t="inlineStr">
        <is>
          <t>Gap</t>
        </is>
      </c>
      <c r="H11" s="6" t="inlineStr">
        <is>
          <t>- Stakeholder risk calculations</t>
        </is>
      </c>
    </row>
    <row r="12">
      <c r="A12" s="7" t="inlineStr">
        <is>
          <t>Awareness</t>
        </is>
      </c>
      <c r="B12" s="7">
        <f>IFERROR(AVERAGE('ADKAR Assessment'!B:B),0)</f>
        <v/>
      </c>
      <c r="C12" s="7" t="n">
        <v>4</v>
      </c>
      <c r="D12" s="7">
        <f>C12-B12</f>
        <v/>
      </c>
      <c r="H12" s="6" t="inlineStr">
        <is>
          <t>- KPI tracking values</t>
        </is>
      </c>
    </row>
    <row r="13">
      <c r="A13" s="7" t="inlineStr">
        <is>
          <t>Desire</t>
        </is>
      </c>
      <c r="B13" s="7">
        <f>IFERROR(AVERAGE('ADKAR Assessment'!C:C),0)</f>
        <v/>
      </c>
      <c r="C13" s="7" t="n">
        <v>4</v>
      </c>
      <c r="D13" s="7">
        <f>C13-B13</f>
        <v/>
      </c>
      <c r="H13" s="6" t="inlineStr">
        <is>
          <t>- CSF and Maturity scores</t>
        </is>
      </c>
    </row>
    <row r="14">
      <c r="A14" s="7" t="inlineStr">
        <is>
          <t>Knowledge</t>
        </is>
      </c>
      <c r="B14" s="7">
        <f>IFERROR(AVERAGE('ADKAR Assessment'!D:D),0)</f>
        <v/>
      </c>
      <c r="C14" s="7" t="n">
        <v>4</v>
      </c>
      <c r="D14" s="7">
        <f>C14-B14</f>
        <v/>
      </c>
    </row>
    <row r="15">
      <c r="A15" s="7" t="inlineStr">
        <is>
          <t>Ability</t>
        </is>
      </c>
      <c r="B15" s="7">
        <f>IFERROR(AVERAGE('ADKAR Assessment'!E:E),0)</f>
        <v/>
      </c>
      <c r="C15" s="7" t="n">
        <v>4</v>
      </c>
      <c r="D15" s="7">
        <f>C15-B15</f>
        <v/>
      </c>
      <c r="H15" s="4" t="inlineStr">
        <is>
          <t>RISK INDICATORS</t>
        </is>
      </c>
    </row>
    <row r="16">
      <c r="A16" s="7" t="inlineStr">
        <is>
          <t>Reinforcement</t>
        </is>
      </c>
      <c r="B16" s="7">
        <f>IFERROR(AVERAGE('ADKAR Assessment'!F:F),0)</f>
        <v/>
      </c>
      <c r="C16" s="7" t="n">
        <v>4</v>
      </c>
      <c r="D16" s="7">
        <f>C16-B16</f>
        <v/>
      </c>
      <c r="H16" s="6" t="inlineStr">
        <is>
          <t>High Risk: Score &gt; 70</t>
        </is>
      </c>
    </row>
    <row r="17">
      <c r="H17" s="6" t="inlineStr">
        <is>
          <t>Medium Risk: Score 31-70</t>
        </is>
      </c>
    </row>
    <row r="18">
      <c r="A18" s="3" t="inlineStr">
        <is>
          <t>STAKEHOLDER RISK SUMMARY</t>
        </is>
      </c>
      <c r="H18" s="6" t="inlineStr">
        <is>
          <t>Low Risk: Score &lt;= 30</t>
        </is>
      </c>
    </row>
    <row r="19">
      <c r="A19" s="5" t="inlineStr">
        <is>
          <t>Metric</t>
        </is>
      </c>
      <c r="B19" s="5" t="inlineStr">
        <is>
          <t>Value</t>
        </is>
      </c>
    </row>
    <row r="20">
      <c r="A20" s="9" t="inlineStr">
        <is>
          <t>Total Stakeholders</t>
        </is>
      </c>
      <c r="B20" s="7">
        <f>COUNTA('Stakeholder Analysis'!A4:A103)-COUNTBLANK('Stakeholder Analysis'!A4:A103)</f>
        <v/>
      </c>
      <c r="H20" s="4" t="inlineStr">
        <is>
          <t>REFRESH</t>
        </is>
      </c>
    </row>
    <row r="21">
      <c r="A21" s="9" t="inlineStr">
        <is>
          <t>High Risk Count</t>
        </is>
      </c>
      <c r="B21" s="7">
        <f>COUNTIF('Stakeholder Analysis'!O4:O103,"&gt;70")</f>
        <v/>
      </c>
      <c r="H21" s="6" t="inlineStr">
        <is>
          <t>All values auto-update when</t>
        </is>
      </c>
    </row>
    <row r="22">
      <c r="A22" s="9" t="inlineStr">
        <is>
          <t>Medium Risk Count</t>
        </is>
      </c>
      <c r="B22" s="7">
        <f>COUNTIFS('Stakeholder Analysis'!O4:O103,"&gt;30",'Stakeholder Analysis'!O4:O103,"&lt;=70")</f>
        <v/>
      </c>
      <c r="H22" s="6" t="inlineStr">
        <is>
          <t>source sheets are modified.</t>
        </is>
      </c>
    </row>
    <row r="23">
      <c r="A23" s="9" t="inlineStr">
        <is>
          <t>Low Risk Count</t>
        </is>
      </c>
      <c r="B23" s="7">
        <f>COUNTIF('Stakeholder Analysis'!O4:O103,"&lt;=30")</f>
        <v/>
      </c>
    </row>
    <row r="24">
      <c r="A24" s="9" t="inlineStr">
        <is>
          <t>Avg Adjusted Risk</t>
        </is>
      </c>
      <c r="B24" s="7">
        <f>IFERROR(AVERAGE('Stakeholder Analysis'!O4:O103),0)</f>
        <v/>
      </c>
    </row>
    <row r="25">
      <c r="A25" s="9" t="inlineStr">
        <is>
          <t>Leadership Cascade Factor</t>
        </is>
      </c>
      <c r="B25" s="7">
        <f>'Stakeholder Analysis'!V3</f>
        <v/>
      </c>
    </row>
    <row r="26">
      <c r="A26" s="9" t="inlineStr">
        <is>
          <t>Avg Depth Penalty</t>
        </is>
      </c>
      <c r="B26" s="7">
        <f>IFERROR(AVERAGE('Stakeholder Analysis'!N4:N103),1)</f>
        <v/>
      </c>
    </row>
    <row r="27">
      <c r="A27" s="10" t="inlineStr">
        <is>
          <t>KPI SUMMARY</t>
        </is>
      </c>
      <c r="B27" s="7">
        <f>SUM('Stakeholder Analysis'!H4:H103)</f>
        <v/>
      </c>
    </row>
    <row r="28">
      <c r="A28" s="5" t="inlineStr">
        <is>
          <t>KPI</t>
        </is>
      </c>
      <c r="B28" s="5" t="inlineStr">
        <is>
          <t>Current</t>
        </is>
      </c>
      <c r="C28" s="5" t="inlineStr">
        <is>
          <t>Target</t>
        </is>
      </c>
      <c r="D28" s="5" t="inlineStr">
        <is>
          <t>Status</t>
        </is>
      </c>
    </row>
    <row r="29">
      <c r="A29" s="7" t="inlineStr">
        <is>
          <t>Awareness Level</t>
        </is>
      </c>
      <c r="B29" s="7">
        <f>'KPI Dashboard'!C3</f>
        <v/>
      </c>
      <c r="C29" s="7">
        <f>'KPI Dashboard'!D3</f>
        <v/>
      </c>
      <c r="D29" s="7">
        <f>IF(B29="","",IF(B29&gt;=C29,"On Track","At Risk"))</f>
        <v/>
      </c>
    </row>
    <row r="30">
      <c r="A30" s="7" t="inlineStr">
        <is>
          <t>Adoption Rate</t>
        </is>
      </c>
      <c r="B30" s="7">
        <f>'KPI Dashboard'!C4</f>
        <v/>
      </c>
      <c r="C30" s="7">
        <f>'KPI Dashboard'!D4</f>
        <v/>
      </c>
      <c r="D30" s="7">
        <f>IF(B30="","",IF(B30&gt;=C30,"On Track","At Risk"))</f>
        <v/>
      </c>
    </row>
    <row r="31">
      <c r="A31" s="7" t="inlineStr">
        <is>
          <t>Proficiency Level</t>
        </is>
      </c>
      <c r="B31" s="7">
        <f>'KPI Dashboard'!C5</f>
        <v/>
      </c>
      <c r="C31" s="7">
        <f>'KPI Dashboard'!D5</f>
        <v/>
      </c>
      <c r="D31" s="7">
        <f>IF(B31="","",IF(B31&gt;=C31,"On Track","At Risk"))</f>
        <v/>
      </c>
    </row>
    <row r="32">
      <c r="A32" s="7" t="inlineStr">
        <is>
          <t>Resistance Level</t>
        </is>
      </c>
      <c r="B32" s="7">
        <f>'KPI Dashboard'!C6</f>
        <v/>
      </c>
      <c r="C32" s="7">
        <f>'KPI Dashboard'!D6</f>
        <v/>
      </c>
      <c r="D32" s="7">
        <f>IF(B32="","",IF(B32&gt;=C32,"On Track","At Risk"))</f>
        <v/>
      </c>
    </row>
    <row r="33">
      <c r="A33" s="7" t="inlineStr">
        <is>
          <t>Sponsor Engagement</t>
        </is>
      </c>
      <c r="B33" s="7">
        <f>'KPI Dashboard'!C7</f>
        <v/>
      </c>
      <c r="C33" s="7">
        <f>'KPI Dashboard'!D7</f>
        <v/>
      </c>
      <c r="D33" s="7">
        <f>IF(B33="","",IF(B33&gt;=C33,"On Track","At Risk"))</f>
        <v/>
      </c>
    </row>
    <row r="34">
      <c r="A34" s="7" t="inlineStr">
        <is>
          <t>Sustainment Rate</t>
        </is>
      </c>
      <c r="B34" s="7">
        <f>'KPI Dashboard'!C8</f>
        <v/>
      </c>
      <c r="C34" s="7">
        <f>'KPI Dashboard'!D8</f>
        <v/>
      </c>
      <c r="D34" s="7">
        <f>IF(B34="","",IF(B34&gt;=C34,"On Track","At Risk"))</f>
        <v/>
      </c>
    </row>
    <row r="36">
      <c r="A36" s="3" t="inlineStr">
        <is>
          <t>CRITICAL SUCCESS FACTORS</t>
        </is>
      </c>
    </row>
    <row r="37">
      <c r="A37" s="5" t="inlineStr">
        <is>
          <t>CSF</t>
        </is>
      </c>
      <c r="B37" s="5" t="inlineStr">
        <is>
          <t>Score</t>
        </is>
      </c>
      <c r="C37" s="5" t="inlineStr">
        <is>
          <t>Status</t>
        </is>
      </c>
    </row>
    <row r="38">
      <c r="A38" s="7" t="inlineStr">
        <is>
          <t>Overall CSF Score</t>
        </is>
      </c>
      <c r="B38" s="7">
        <f>IFERROR(AVERAGE('CSF Checklist'!C4:C11),0)</f>
        <v/>
      </c>
      <c r="C38" s="7">
        <f>IF(B38="","",IF(B38&gt;=4,"Strong",IF(B38&gt;=3,"Adequate","Needs Work")))</f>
        <v/>
      </c>
    </row>
    <row r="40">
      <c r="A40" s="3" t="inlineStr">
        <is>
          <t>MATURITY ASSESSMENT</t>
        </is>
      </c>
    </row>
    <row r="41">
      <c r="A41" t="inlineStr">
        <is>
          <t>Overall Maturity Score</t>
        </is>
      </c>
      <c r="B41">
        <f>IFERROR(AVERAGE('Maturity Assessment'!C4:C11),0)</f>
        <v/>
      </c>
    </row>
    <row r="42">
      <c r="A42" t="inlineStr">
        <is>
          <t>Maturity Level</t>
        </is>
      </c>
      <c r="B42">
        <f>IF(B41="","",IF(B41&gt;=4.5,"Optimized",IF(B41&gt;=3.5,"Managed",IF(B41&gt;=2.5,"Defined",IF(B41&gt;=1.5,"Emerging","Ad-hoc")))))</f>
        <v/>
      </c>
    </row>
  </sheetData>
  <mergeCells count="2">
    <mergeCell ref="A1:F1"/>
    <mergeCell ref="H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L30"/>
  <sheetViews>
    <sheetView workbookViewId="0">
      <pane xSplit="10" topLeftCell="K1" activePane="topRight" state="frozen"/>
      <selection pane="topRight" activeCell="A1" sqref="A1"/>
    </sheetView>
  </sheetViews>
  <sheetFormatPr baseColWidth="8" defaultRowHeight="15"/>
  <cols>
    <col width="8" customWidth="1" min="1" max="1"/>
    <col width="18" customWidth="1" min="2" max="2"/>
    <col width="15" customWidth="1" min="3" max="3"/>
    <col width="30" customWidth="1" min="4" max="4"/>
    <col width="25" customWidth="1" min="5" max="5"/>
    <col width="30" customWidth="1" min="6" max="6"/>
    <col width="15" customWidth="1" min="7" max="7"/>
    <col width="12" customWidth="1" min="8" max="8"/>
    <col width="10" customWidth="1" min="9" max="9"/>
    <col width="45" customWidth="1" min="11" max="11"/>
  </cols>
  <sheetData>
    <row r="1">
      <c r="K1" s="2" t="inlineStr">
        <is>
          <t>INSTRUCTIONS</t>
        </is>
      </c>
    </row>
    <row r="2">
      <c r="A2" s="5" t="inlineStr">
        <is>
          <t>ID</t>
        </is>
      </c>
      <c r="B2" s="5" t="inlineStr">
        <is>
          <t>Source</t>
        </is>
      </c>
      <c r="C2" s="5" t="inlineStr">
        <is>
          <t>Type</t>
        </is>
      </c>
      <c r="D2" s="5" t="inlineStr">
        <is>
          <t>Description</t>
        </is>
      </c>
      <c r="E2" s="5" t="inlineStr">
        <is>
          <t>Root Cause</t>
        </is>
      </c>
      <c r="F2" s="5" t="inlineStr">
        <is>
          <t>Mitigation</t>
        </is>
      </c>
      <c r="G2" s="5" t="inlineStr">
        <is>
          <t>Owner</t>
        </is>
      </c>
      <c r="H2" s="5" t="inlineStr">
        <is>
          <t>Status</t>
        </is>
      </c>
      <c r="I2" s="5" t="inlineStr">
        <is>
          <t>Priority</t>
        </is>
      </c>
    </row>
    <row r="3">
      <c r="A3" s="9" t="inlineStr">
        <is>
          <t>R001</t>
        </is>
      </c>
      <c r="B3" s="9" t="inlineStr"/>
      <c r="C3" s="9" t="inlineStr"/>
      <c r="D3" s="9" t="inlineStr"/>
      <c r="E3" s="9" t="inlineStr"/>
      <c r="F3" s="9" t="inlineStr"/>
      <c r="G3" s="9" t="inlineStr"/>
      <c r="H3" s="9" t="inlineStr">
        <is>
          <t>Open</t>
        </is>
      </c>
      <c r="I3" s="9" t="inlineStr"/>
      <c r="K3" s="4" t="inlineStr">
        <is>
          <t>PURPOSE</t>
        </is>
      </c>
    </row>
    <row r="4">
      <c r="A4" s="9" t="inlineStr">
        <is>
          <t>R002</t>
        </is>
      </c>
      <c r="B4" s="9" t="inlineStr"/>
      <c r="C4" s="9" t="inlineStr"/>
      <c r="D4" s="9" t="inlineStr"/>
      <c r="E4" s="9" t="inlineStr"/>
      <c r="F4" s="9" t="inlineStr"/>
      <c r="G4" s="9" t="inlineStr"/>
      <c r="H4" s="9" t="inlineStr">
        <is>
          <t>Open</t>
        </is>
      </c>
      <c r="I4" s="9" t="inlineStr"/>
      <c r="K4" s="6" t="inlineStr">
        <is>
          <t>Track and manage resistance</t>
        </is>
      </c>
    </row>
    <row r="5">
      <c r="A5" s="9" t="inlineStr">
        <is>
          <t>R003</t>
        </is>
      </c>
      <c r="B5" s="9" t="inlineStr"/>
      <c r="C5" s="9" t="inlineStr"/>
      <c r="D5" s="9" t="inlineStr"/>
      <c r="E5" s="9" t="inlineStr"/>
      <c r="F5" s="9" t="inlineStr"/>
      <c r="G5" s="9" t="inlineStr"/>
      <c r="H5" s="9" t="inlineStr">
        <is>
          <t>Open</t>
        </is>
      </c>
      <c r="I5" s="9" t="inlineStr"/>
      <c r="K5" s="6" t="inlineStr">
        <is>
          <t>to change systematically.</t>
        </is>
      </c>
    </row>
    <row r="6">
      <c r="A6" s="9" t="inlineStr">
        <is>
          <t>R004</t>
        </is>
      </c>
      <c r="B6" s="9" t="n"/>
      <c r="C6" s="9" t="n"/>
      <c r="D6" s="9" t="n"/>
      <c r="E6" s="9" t="n"/>
      <c r="F6" s="9" t="n"/>
      <c r="G6" s="9" t="n"/>
      <c r="H6" s="9" t="n"/>
      <c r="I6" s="9" t="n"/>
    </row>
    <row r="7">
      <c r="A7" s="9" t="inlineStr">
        <is>
          <t>R005</t>
        </is>
      </c>
      <c r="B7" s="9" t="n"/>
      <c r="C7" s="9" t="n"/>
      <c r="D7" s="9" t="n"/>
      <c r="E7" s="9" t="n"/>
      <c r="F7" s="9" t="n"/>
      <c r="G7" s="9" t="n"/>
      <c r="H7" s="9" t="n"/>
      <c r="I7" s="9" t="n"/>
      <c r="K7" s="4" t="inlineStr">
        <is>
          <t>RESISTANCE TYPES</t>
        </is>
      </c>
    </row>
    <row r="8">
      <c r="A8" s="9" t="inlineStr">
        <is>
          <t>R006</t>
        </is>
      </c>
      <c r="B8" s="9" t="n"/>
      <c r="C8" s="9" t="n"/>
      <c r="D8" s="9" t="n"/>
      <c r="E8" s="9" t="n"/>
      <c r="F8" s="9" t="n"/>
      <c r="G8" s="9" t="n"/>
      <c r="H8" s="9" t="n"/>
      <c r="I8" s="9" t="n"/>
      <c r="K8" s="6" t="inlineStr">
        <is>
          <t>Fear - Uncertainty about future</t>
        </is>
      </c>
    </row>
    <row r="9">
      <c r="A9" s="9" t="inlineStr">
        <is>
          <t>R007</t>
        </is>
      </c>
      <c r="B9" s="9" t="n"/>
      <c r="C9" s="9" t="n"/>
      <c r="D9" s="9" t="n"/>
      <c r="E9" s="9" t="n"/>
      <c r="F9" s="9" t="n"/>
      <c r="G9" s="9" t="n"/>
      <c r="H9" s="9" t="n"/>
      <c r="I9" s="9" t="n"/>
      <c r="K9" s="6" t="inlineStr">
        <is>
          <t>Loss of Control - Autonomy concerns</t>
        </is>
      </c>
    </row>
    <row r="10">
      <c r="A10" s="9" t="inlineStr">
        <is>
          <t>R008</t>
        </is>
      </c>
      <c r="B10" s="9" t="n"/>
      <c r="C10" s="9" t="n"/>
      <c r="D10" s="9" t="n"/>
      <c r="E10" s="9" t="n"/>
      <c r="F10" s="9" t="n"/>
      <c r="G10" s="9" t="n"/>
      <c r="H10" s="9" t="n"/>
      <c r="I10" s="9" t="n"/>
      <c r="K10" s="6" t="inlineStr">
        <is>
          <t>Workload - Capacity issues</t>
        </is>
      </c>
    </row>
    <row r="11">
      <c r="A11" s="9" t="inlineStr">
        <is>
          <t>R009</t>
        </is>
      </c>
      <c r="B11" s="9" t="n"/>
      <c r="C11" s="9" t="n"/>
      <c r="D11" s="9" t="n"/>
      <c r="E11" s="9" t="n"/>
      <c r="F11" s="9" t="n"/>
      <c r="G11" s="9" t="n"/>
      <c r="H11" s="9" t="n"/>
      <c r="I11" s="9" t="n"/>
      <c r="K11" s="6" t="inlineStr">
        <is>
          <t>Skills Gap - Capability concerns</t>
        </is>
      </c>
    </row>
    <row r="12">
      <c r="A12" s="9" t="inlineStr">
        <is>
          <t>R010</t>
        </is>
      </c>
      <c r="B12" s="9" t="n"/>
      <c r="C12" s="9" t="n"/>
      <c r="D12" s="9" t="n"/>
      <c r="E12" s="9" t="n"/>
      <c r="F12" s="9" t="n"/>
      <c r="G12" s="9" t="n"/>
      <c r="H12" s="9" t="n"/>
      <c r="I12" s="9" t="n"/>
      <c r="K12" s="6" t="inlineStr">
        <is>
          <t>Culture - Values conflict</t>
        </is>
      </c>
    </row>
    <row r="13">
      <c r="A13" s="9" t="inlineStr">
        <is>
          <t>R011</t>
        </is>
      </c>
      <c r="B13" s="9" t="n"/>
      <c r="C13" s="9" t="n"/>
      <c r="D13" s="9" t="n"/>
      <c r="E13" s="9" t="n"/>
      <c r="F13" s="9" t="n"/>
      <c r="G13" s="9" t="n"/>
      <c r="H13" s="9" t="n"/>
      <c r="I13" s="9" t="n"/>
      <c r="K13" s="6" t="inlineStr">
        <is>
          <t>Past Experience - Previous failures</t>
        </is>
      </c>
    </row>
    <row r="14">
      <c r="A14" s="9" t="inlineStr">
        <is>
          <t>R012</t>
        </is>
      </c>
      <c r="B14" s="9" t="n"/>
      <c r="C14" s="9" t="n"/>
      <c r="D14" s="9" t="n"/>
      <c r="E14" s="9" t="n"/>
      <c r="F14" s="9" t="n"/>
      <c r="G14" s="9" t="n"/>
      <c r="H14" s="9" t="n"/>
      <c r="I14" s="9" t="n"/>
    </row>
    <row r="15">
      <c r="A15" s="9" t="inlineStr">
        <is>
          <t>R013</t>
        </is>
      </c>
      <c r="B15" s="9" t="n"/>
      <c r="C15" s="9" t="n"/>
      <c r="D15" s="9" t="n"/>
      <c r="E15" s="9" t="n"/>
      <c r="F15" s="9" t="n"/>
      <c r="G15" s="9" t="n"/>
      <c r="H15" s="9" t="n"/>
      <c r="I15" s="9" t="n"/>
      <c r="K15" s="4" t="inlineStr">
        <is>
          <t>MANAGEMENT APPROACH</t>
        </is>
      </c>
    </row>
    <row r="16">
      <c r="A16" s="9" t="inlineStr">
        <is>
          <t>R014</t>
        </is>
      </c>
      <c r="B16" s="9" t="n"/>
      <c r="C16" s="9" t="n"/>
      <c r="D16" s="9" t="n"/>
      <c r="E16" s="9" t="n"/>
      <c r="F16" s="9" t="n"/>
      <c r="G16" s="9" t="n"/>
      <c r="H16" s="9" t="n"/>
      <c r="I16" s="9" t="n"/>
      <c r="K16" s="6" t="inlineStr">
        <is>
          <t>1. Identify early</t>
        </is>
      </c>
    </row>
    <row r="17">
      <c r="A17" s="9" t="inlineStr">
        <is>
          <t>R015</t>
        </is>
      </c>
      <c r="B17" s="9" t="n"/>
      <c r="C17" s="9" t="n"/>
      <c r="D17" s="9" t="n"/>
      <c r="E17" s="9" t="n"/>
      <c r="F17" s="9" t="n"/>
      <c r="G17" s="9" t="n"/>
      <c r="H17" s="9" t="n"/>
      <c r="I17" s="9" t="n"/>
      <c r="K17" s="6" t="inlineStr">
        <is>
          <t>2. Understand root cause</t>
        </is>
      </c>
    </row>
    <row r="18">
      <c r="A18" s="9" t="inlineStr">
        <is>
          <t>R016</t>
        </is>
      </c>
      <c r="B18" s="9" t="n"/>
      <c r="C18" s="9" t="n"/>
      <c r="D18" s="9" t="n"/>
      <c r="E18" s="9" t="n"/>
      <c r="F18" s="9" t="n"/>
      <c r="G18" s="9" t="n"/>
      <c r="H18" s="9" t="n"/>
      <c r="I18" s="9" t="n"/>
      <c r="K18" s="6" t="inlineStr">
        <is>
          <t>3. Plan mitigation</t>
        </is>
      </c>
    </row>
    <row r="19">
      <c r="A19" s="9" t="inlineStr">
        <is>
          <t>R017</t>
        </is>
      </c>
      <c r="B19" s="9" t="n"/>
      <c r="C19" s="9" t="n"/>
      <c r="D19" s="9" t="n"/>
      <c r="E19" s="9" t="n"/>
      <c r="F19" s="9" t="n"/>
      <c r="G19" s="9" t="n"/>
      <c r="H19" s="9" t="n"/>
      <c r="I19" s="9" t="n"/>
      <c r="K19" s="6" t="inlineStr">
        <is>
          <t>4. Monitor progress</t>
        </is>
      </c>
    </row>
    <row r="20">
      <c r="A20" s="9" t="inlineStr">
        <is>
          <t>R018</t>
        </is>
      </c>
      <c r="B20" s="9" t="n"/>
      <c r="C20" s="9" t="n"/>
      <c r="D20" s="9" t="n"/>
      <c r="E20" s="9" t="n"/>
      <c r="F20" s="9" t="n"/>
      <c r="G20" s="9" t="n"/>
      <c r="H20" s="9" t="n"/>
      <c r="I20" s="9" t="n"/>
      <c r="K20" s="6" t="inlineStr">
        <is>
          <t>5. Escalate if needed</t>
        </is>
      </c>
    </row>
    <row r="21">
      <c r="A21" s="9" t="inlineStr">
        <is>
          <t>R019</t>
        </is>
      </c>
      <c r="B21" s="9" t="n"/>
      <c r="C21" s="9" t="n"/>
      <c r="D21" s="9" t="n"/>
      <c r="E21" s="9" t="n"/>
      <c r="F21" s="9" t="n"/>
      <c r="G21" s="9" t="n"/>
      <c r="H21" s="9" t="n"/>
      <c r="I21" s="9" t="n"/>
    </row>
    <row r="22">
      <c r="A22" s="9" t="inlineStr">
        <is>
          <t>R020</t>
        </is>
      </c>
      <c r="B22" s="9" t="n"/>
      <c r="C22" s="9" t="n"/>
      <c r="D22" s="9" t="n"/>
      <c r="E22" s="9" t="n"/>
      <c r="F22" s="9" t="n"/>
      <c r="G22" s="9" t="n"/>
      <c r="H22" s="9" t="n"/>
      <c r="I22" s="9" t="n"/>
      <c r="K22" s="4" t="inlineStr">
        <is>
          <t>TIP</t>
        </is>
      </c>
    </row>
    <row r="23">
      <c r="A23" s="9" t="inlineStr">
        <is>
          <t>R021</t>
        </is>
      </c>
      <c r="B23" s="9" t="n"/>
      <c r="C23" s="9" t="n"/>
      <c r="D23" s="9" t="n"/>
      <c r="E23" s="9" t="n"/>
      <c r="F23" s="9" t="n"/>
      <c r="G23" s="9" t="n"/>
      <c r="H23" s="9" t="n"/>
      <c r="I23" s="9" t="n"/>
      <c r="K23" s="6" t="inlineStr">
        <is>
          <t>Resistance is often a symptom</t>
        </is>
      </c>
    </row>
    <row r="24">
      <c r="A24" s="9" t="inlineStr">
        <is>
          <t>R022</t>
        </is>
      </c>
      <c r="B24" s="9" t="n"/>
      <c r="C24" s="9" t="n"/>
      <c r="D24" s="9" t="n"/>
      <c r="E24" s="9" t="n"/>
      <c r="F24" s="9" t="n"/>
      <c r="G24" s="9" t="n"/>
      <c r="H24" s="9" t="n"/>
      <c r="I24" s="9" t="n"/>
      <c r="K24" s="6" t="inlineStr">
        <is>
          <t>of insufficient Awareness,</t>
        </is>
      </c>
    </row>
    <row r="25">
      <c r="A25" s="9" t="inlineStr">
        <is>
          <t>R023</t>
        </is>
      </c>
      <c r="B25" s="9" t="n"/>
      <c r="C25" s="9" t="n"/>
      <c r="D25" s="9" t="n"/>
      <c r="E25" s="9" t="n"/>
      <c r="F25" s="9" t="n"/>
      <c r="G25" s="9" t="n"/>
      <c r="H25" s="9" t="n"/>
      <c r="I25" s="9" t="n"/>
      <c r="K25" s="6" t="inlineStr">
        <is>
          <t>Desire, or Knowledge.</t>
        </is>
      </c>
    </row>
    <row r="26">
      <c r="A26" s="9" t="inlineStr">
        <is>
          <t>R024</t>
        </is>
      </c>
      <c r="B26" s="9" t="n"/>
      <c r="C26" s="9" t="n"/>
      <c r="D26" s="9" t="n"/>
      <c r="E26" s="9" t="n"/>
      <c r="F26" s="9" t="n"/>
      <c r="G26" s="9" t="n"/>
      <c r="H26" s="9" t="n"/>
      <c r="I26" s="9" t="n"/>
    </row>
    <row r="27">
      <c r="A27" s="9" t="inlineStr">
        <is>
          <t>R025</t>
        </is>
      </c>
      <c r="B27" s="9" t="n"/>
      <c r="C27" s="9" t="n"/>
      <c r="D27" s="9" t="n"/>
      <c r="E27" s="9" t="n"/>
      <c r="F27" s="9" t="n"/>
      <c r="G27" s="9" t="n"/>
      <c r="H27" s="9" t="n"/>
      <c r="I27" s="9" t="n"/>
    </row>
    <row r="28">
      <c r="A28" s="9" t="inlineStr">
        <is>
          <t>R026</t>
        </is>
      </c>
      <c r="B28" s="9" t="n"/>
      <c r="C28" s="9" t="n"/>
      <c r="D28" s="9" t="n"/>
      <c r="E28" s="9" t="n"/>
      <c r="F28" s="9" t="n"/>
      <c r="G28" s="9" t="n"/>
      <c r="H28" s="9" t="n"/>
      <c r="I28" s="9" t="n"/>
    </row>
    <row r="29">
      <c r="A29" s="9" t="inlineStr">
        <is>
          <t>R027</t>
        </is>
      </c>
      <c r="B29" s="9" t="n"/>
      <c r="C29" s="9" t="n"/>
      <c r="D29" s="9" t="n"/>
      <c r="E29" s="9" t="n"/>
      <c r="F29" s="9" t="n"/>
      <c r="G29" s="9" t="n"/>
      <c r="H29" s="9" t="n"/>
      <c r="I29" s="9" t="n"/>
    </row>
    <row r="30">
      <c r="A30" s="9" t="inlineStr">
        <is>
          <t>R028</t>
        </is>
      </c>
      <c r="B30" s="9" t="n"/>
      <c r="C30" s="9" t="n"/>
      <c r="D30" s="9" t="n"/>
      <c r="E30" s="9" t="n"/>
      <c r="F30" s="9" t="n"/>
      <c r="G30" s="9" t="n"/>
      <c r="H30" s="9" t="n"/>
      <c r="I30" s="9" t="n"/>
    </row>
  </sheetData>
  <mergeCells count="1">
    <mergeCell ref="K1:L1"/>
  </mergeCells>
  <dataValidations count="3">
    <dataValidation sqref="C3:C30" showDropDown="0" showInputMessage="0" showErrorMessage="0" allowBlank="1" type="list">
      <formula1>"Fear,Loss of Control,Workload,Skills Gap,Culture,Past Experience,Misunderstanding,Other"</formula1>
    </dataValidation>
    <dataValidation sqref="H3:H30" showDropDown="0" showInputMessage="0" showErrorMessage="0" allowBlank="1" type="list">
      <formula1>"Open,In Progress,Resolved,Escalated"</formula1>
    </dataValidation>
    <dataValidation sqref="I3:I30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pane xSplit="7" topLeftCell="H1" activePane="topRight" state="frozen"/>
      <selection pane="topRight" activeCell="A1" sqref="A1"/>
    </sheetView>
  </sheetViews>
  <sheetFormatPr baseColWidth="8" defaultRowHeight="15"/>
  <cols>
    <col width="20" customWidth="1" min="1" max="1"/>
    <col width="35" customWidth="1" min="2" max="2"/>
    <col width="12" customWidth="1" min="3" max="3"/>
    <col width="12" customWidth="1" min="4" max="4"/>
    <col width="12" customWidth="1" min="5" max="5"/>
    <col width="12" customWidth="1" min="6" max="6"/>
    <col width="45" customWidth="1" min="8" max="8"/>
  </cols>
  <sheetData>
    <row r="1">
      <c r="H1" s="2" t="inlineStr">
        <is>
          <t>INSTRUCTIONS</t>
        </is>
      </c>
    </row>
    <row r="2">
      <c r="A2" s="5" t="inlineStr">
        <is>
          <t>KPI</t>
        </is>
      </c>
      <c r="B2" s="5" t="inlineStr">
        <is>
          <t>Definition</t>
        </is>
      </c>
      <c r="C2" s="5" t="inlineStr">
        <is>
          <t>Current</t>
        </is>
      </c>
      <c r="D2" s="5" t="inlineStr">
        <is>
          <t>Target</t>
        </is>
      </c>
      <c r="E2" s="5" t="inlineStr">
        <is>
          <t>Status</t>
        </is>
      </c>
      <c r="F2" s="5" t="inlineStr">
        <is>
          <t>Trend</t>
        </is>
      </c>
    </row>
    <row r="3">
      <c r="A3" s="9" t="inlineStr">
        <is>
          <t>Awareness Level</t>
        </is>
      </c>
      <c r="B3" s="9" t="inlineStr">
        <is>
          <t>% of stakeholders aware of change</t>
        </is>
      </c>
      <c r="C3" s="7" t="inlineStr">
        <is>
          <t>78%</t>
        </is>
      </c>
      <c r="D3" s="7" t="inlineStr">
        <is>
          <t>100%</t>
        </is>
      </c>
      <c r="E3" s="7">
        <f>IF(C3="","",IF(VALUE(SUBSTITUTE(C3,"%",""))&gt;=VALUE(SUBSTITUTE(SUBSTITUTE(D3,"≤",""),"%","")),"On Track","At Risk"))</f>
        <v/>
      </c>
      <c r="F3" s="7" t="inlineStr">
        <is>
          <t>Improving</t>
        </is>
      </c>
      <c r="H3" s="4" t="inlineStr">
        <is>
          <t>PURPOSE</t>
        </is>
      </c>
    </row>
    <row r="4">
      <c r="A4" s="9" t="inlineStr">
        <is>
          <t>Adoption Rate</t>
        </is>
      </c>
      <c r="B4" s="9" t="inlineStr">
        <is>
          <t>% using new process/system correctly</t>
        </is>
      </c>
      <c r="C4" s="7" t="inlineStr">
        <is>
          <t>62%</t>
        </is>
      </c>
      <c r="D4" s="7" t="inlineStr">
        <is>
          <t>85%</t>
        </is>
      </c>
      <c r="E4" s="7">
        <f>IF(C4="","",IF(VALUE(SUBSTITUTE(C4,"%",""))&gt;=VALUE(SUBSTITUTE(SUBSTITUTE(D4,"≤",""),"%","")),"On Track","At Risk"))</f>
        <v/>
      </c>
      <c r="F4" s="7" t="inlineStr">
        <is>
          <t>Improving</t>
        </is>
      </c>
      <c r="H4" s="6" t="inlineStr">
        <is>
          <t>Track 6 key OCM metrics</t>
        </is>
      </c>
    </row>
    <row r="5">
      <c r="A5" s="9" t="inlineStr">
        <is>
          <t>Proficiency Level</t>
        </is>
      </c>
      <c r="B5" s="9" t="inlineStr">
        <is>
          <t>% meeting performance standards</t>
        </is>
      </c>
      <c r="C5" s="7" t="inlineStr">
        <is>
          <t>45%</t>
        </is>
      </c>
      <c r="D5" s="7" t="inlineStr">
        <is>
          <t>80%</t>
        </is>
      </c>
      <c r="E5" s="7">
        <f>IF(C5="","",IF(VALUE(SUBSTITUTE(C5,"%",""))&gt;=VALUE(SUBSTITUTE(SUBSTITUTE(D5,"≤",""),"%","")),"On Track","At Risk"))</f>
        <v/>
      </c>
      <c r="F5" s="7" t="inlineStr">
        <is>
          <t>Stable</t>
        </is>
      </c>
      <c r="H5" s="6" t="inlineStr">
        <is>
          <t>against targets.</t>
        </is>
      </c>
    </row>
    <row r="6">
      <c r="A6" s="9" t="inlineStr">
        <is>
          <t>Resistance Level</t>
        </is>
      </c>
      <c r="B6" s="9" t="inlineStr">
        <is>
          <t>% showing active resistance</t>
        </is>
      </c>
      <c r="C6" s="7" t="inlineStr">
        <is>
          <t>18%</t>
        </is>
      </c>
      <c r="D6" s="7" t="inlineStr">
        <is>
          <t>≤10%</t>
        </is>
      </c>
      <c r="E6" s="7">
        <f>IF(C6="","",IF(VALUE(SUBSTITUTE(C6,"%",""))&gt;=VALUE(SUBSTITUTE(SUBSTITUTE(D6,"≤",""),"%","")),"On Track","At Risk"))</f>
        <v/>
      </c>
      <c r="F6" s="7" t="inlineStr">
        <is>
          <t>Declining</t>
        </is>
      </c>
    </row>
    <row r="7">
      <c r="A7" s="9" t="inlineStr">
        <is>
          <t>Sponsor Engagement</t>
        </is>
      </c>
      <c r="B7" s="9" t="inlineStr">
        <is>
          <t>Sponsor activity completion rate</t>
        </is>
      </c>
      <c r="C7" s="7" t="inlineStr">
        <is>
          <t>92%</t>
        </is>
      </c>
      <c r="D7" s="7" t="inlineStr">
        <is>
          <t>90%</t>
        </is>
      </c>
      <c r="E7" s="7">
        <f>IF(C7="","",IF(VALUE(SUBSTITUTE(C7,"%",""))&gt;=VALUE(SUBSTITUTE(SUBSTITUTE(D7,"≤",""),"%","")),"On Track","At Risk"))</f>
        <v/>
      </c>
      <c r="F7" s="7" t="inlineStr">
        <is>
          <t>Stable</t>
        </is>
      </c>
      <c r="H7" s="4" t="inlineStr">
        <is>
          <t>KPI DEFINITIONS</t>
        </is>
      </c>
    </row>
    <row r="8">
      <c r="A8" s="9" t="inlineStr">
        <is>
          <t>Sustainment Rate</t>
        </is>
      </c>
      <c r="B8" s="9" t="inlineStr">
        <is>
          <t>Sustained adoption after 90 days</t>
        </is>
      </c>
      <c r="C8" s="7" t="inlineStr">
        <is>
          <t>N/A</t>
        </is>
      </c>
      <c r="D8" s="7" t="inlineStr">
        <is>
          <t>90%</t>
        </is>
      </c>
      <c r="E8" s="7">
        <f>IF(C8="","",IF(VALUE(SUBSTITUTE(C8,"%",""))&gt;=VALUE(SUBSTITUTE(SUBSTITUTE(D8,"≤",""),"%","")),"On Track","At Risk"))</f>
        <v/>
      </c>
      <c r="F8" s="7" t="inlineStr"/>
      <c r="H8" s="6" t="inlineStr">
        <is>
          <t>Awareness - Survey/assessment</t>
        </is>
      </c>
    </row>
    <row r="9">
      <c r="H9" s="6" t="inlineStr">
        <is>
          <t>Adoption - System usage data</t>
        </is>
      </c>
    </row>
    <row r="10">
      <c r="H10" s="6" t="inlineStr">
        <is>
          <t>Proficiency - Quality metrics</t>
        </is>
      </c>
    </row>
    <row r="11">
      <c r="H11" s="6" t="inlineStr">
        <is>
          <t>Resistance - Log analysis</t>
        </is>
      </c>
    </row>
    <row r="12">
      <c r="H12" s="6" t="inlineStr">
        <is>
          <t>Sponsor - Activity tracking</t>
        </is>
      </c>
    </row>
    <row r="13">
      <c r="H13" s="6" t="inlineStr">
        <is>
          <t>Sustainment - 90-day review</t>
        </is>
      </c>
    </row>
    <row r="15">
      <c r="H15" s="4" t="inlineStr">
        <is>
          <t>MEASUREMENT FREQUENCY</t>
        </is>
      </c>
    </row>
    <row r="16">
      <c r="H16" s="6" t="inlineStr">
        <is>
          <t>Awareness: Weekly during rollout</t>
        </is>
      </c>
    </row>
    <row r="17">
      <c r="H17" s="6" t="inlineStr">
        <is>
          <t>Adoption: Weekly post go-live</t>
        </is>
      </c>
    </row>
    <row r="18">
      <c r="H18" s="6" t="inlineStr">
        <is>
          <t>Proficiency: Monthly</t>
        </is>
      </c>
    </row>
    <row r="19">
      <c r="H19" s="6" t="inlineStr">
        <is>
          <t>Resistance: Continuous</t>
        </is>
      </c>
    </row>
    <row r="20">
      <c r="H20" s="6" t="inlineStr">
        <is>
          <t>Sponsor: Per activity</t>
        </is>
      </c>
    </row>
    <row r="21">
      <c r="H21" s="6" t="inlineStr">
        <is>
          <t>Sustainment: 90 days post</t>
        </is>
      </c>
    </row>
    <row r="23">
      <c r="H23" s="4" t="inlineStr">
        <is>
          <t>TIP</t>
        </is>
      </c>
    </row>
    <row r="24">
      <c r="H24" s="6" t="inlineStr">
        <is>
          <t>Status auto-calculates</t>
        </is>
      </c>
    </row>
    <row r="25">
      <c r="H25" s="6" t="inlineStr">
        <is>
          <t>based on Current vs Target.</t>
        </is>
      </c>
    </row>
  </sheetData>
  <mergeCells count="1">
    <mergeCell ref="H1:I1"/>
  </mergeCells>
  <dataValidations count="1">
    <dataValidation sqref="F3:F8" showDropDown="0" showInputMessage="0" showErrorMessage="0" allowBlank="1" type="list">
      <formula1>"Improving,Stable,Declining"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pane xSplit="10" topLeftCell="K1" activePane="topRight" state="frozen"/>
      <selection pane="topRight" activeCell="A1" sqref="A1"/>
    </sheetView>
  </sheetViews>
  <sheetFormatPr baseColWidth="8" defaultRowHeight="15"/>
  <cols>
    <col width="25" customWidth="1" min="1" max="1"/>
    <col width="40" customWidth="1" min="2" max="2"/>
    <col width="10" customWidth="1" min="3" max="3"/>
    <col width="30" customWidth="1" min="4" max="4"/>
    <col width="10" customWidth="1" min="5" max="5"/>
    <col width="10" customWidth="1" min="6" max="6"/>
    <col width="15" customWidth="1" min="8" max="8"/>
    <col width="35" customWidth="1" min="9" max="9"/>
    <col width="45" customWidth="1" min="11" max="11"/>
  </cols>
  <sheetData>
    <row r="1">
      <c r="H1" s="11" t="inlineStr">
        <is>
          <t>MATURITY LEVELS</t>
        </is>
      </c>
      <c r="K1" s="2" t="inlineStr">
        <is>
          <t>INSTRUCTIONS</t>
        </is>
      </c>
    </row>
    <row r="2">
      <c r="H2" s="19" t="inlineStr">
        <is>
          <t>1 - Ad-hoc</t>
        </is>
      </c>
      <c r="I2" t="inlineStr">
        <is>
          <t>No formal OCM practices</t>
        </is>
      </c>
    </row>
    <row r="3">
      <c r="A3" s="5" t="inlineStr">
        <is>
          <t>Dimension</t>
        </is>
      </c>
      <c r="B3" s="5" t="inlineStr">
        <is>
          <t>Description</t>
        </is>
      </c>
      <c r="C3" s="5" t="inlineStr">
        <is>
          <t>Score</t>
        </is>
      </c>
      <c r="D3" s="5" t="inlineStr">
        <is>
          <t>Evidence</t>
        </is>
      </c>
      <c r="E3" s="5" t="inlineStr">
        <is>
          <t>Target</t>
        </is>
      </c>
      <c r="F3" s="5" t="inlineStr">
        <is>
          <t>Gap</t>
        </is>
      </c>
      <c r="H3" s="19" t="inlineStr">
        <is>
          <t>2 - Emerging</t>
        </is>
      </c>
      <c r="I3" t="inlineStr">
        <is>
          <t>Basic practices on some projects</t>
        </is>
      </c>
      <c r="K3" s="4" t="inlineStr">
        <is>
          <t>PURPOSE</t>
        </is>
      </c>
    </row>
    <row r="4">
      <c r="A4" s="9" t="inlineStr">
        <is>
          <t>Leadership &amp; Sponsorship</t>
        </is>
      </c>
      <c r="B4" s="9" t="inlineStr">
        <is>
          <t>Executive commitment and visible support</t>
        </is>
      </c>
      <c r="C4" s="7" t="n">
        <v>4</v>
      </c>
      <c r="D4" s="9" t="inlineStr">
        <is>
          <t>CEO active sponsor, monthly steering</t>
        </is>
      </c>
      <c r="E4" s="7" t="n">
        <v>5</v>
      </c>
      <c r="F4" s="7">
        <f>IF(OR(C4="",E4=""),"",E4-C4)</f>
        <v/>
      </c>
      <c r="H4" s="19" t="inlineStr">
        <is>
          <t>3 - Defined</t>
        </is>
      </c>
      <c r="I4" t="inlineStr">
        <is>
          <t>Standardized methodology in use</t>
        </is>
      </c>
      <c r="K4" s="6" t="inlineStr">
        <is>
          <t>Assess organizational OCM</t>
        </is>
      </c>
    </row>
    <row r="5">
      <c r="A5" s="9" t="inlineStr">
        <is>
          <t>Methodology &amp; Approach</t>
        </is>
      </c>
      <c r="B5" s="9" t="inlineStr">
        <is>
          <t>Standardized OCM methodology application</t>
        </is>
      </c>
      <c r="C5" s="7" t="n">
        <v>3</v>
      </c>
      <c r="D5" s="9" t="inlineStr">
        <is>
          <t>ADKAR adopted, templates in use</t>
        </is>
      </c>
      <c r="E5" s="7" t="n">
        <v>4</v>
      </c>
      <c r="F5" s="7">
        <f>IF(OR(C5="",E5=""),"",E5-C5)</f>
        <v/>
      </c>
      <c r="H5" s="19" t="inlineStr">
        <is>
          <t>4 - Managed</t>
        </is>
      </c>
      <c r="I5" t="inlineStr">
        <is>
          <t>Metrics-driven, consistent results</t>
        </is>
      </c>
      <c r="K5" s="6" t="inlineStr">
        <is>
          <t>maturity across 8 dimensions.</t>
        </is>
      </c>
    </row>
    <row r="6">
      <c r="A6" s="9" t="inlineStr">
        <is>
          <t>Stakeholder Management</t>
        </is>
      </c>
      <c r="B6" s="9" t="inlineStr">
        <is>
          <t>Systematic stakeholder analysis and engagement</t>
        </is>
      </c>
      <c r="C6" s="7" t="n">
        <v>3</v>
      </c>
      <c r="D6" s="9" t="inlineStr">
        <is>
          <t>Analysis complete, engagement ongoing</t>
        </is>
      </c>
      <c r="E6" s="7" t="n">
        <v>4</v>
      </c>
      <c r="F6" s="7">
        <f>IF(OR(C6="",E6=""),"",E6-C6)</f>
        <v/>
      </c>
      <c r="H6" s="19" t="inlineStr">
        <is>
          <t>5 - Optimized</t>
        </is>
      </c>
      <c r="I6" t="inlineStr">
        <is>
          <t>Change-ready culture, continuous improvement</t>
        </is>
      </c>
    </row>
    <row r="7">
      <c r="A7" s="9" t="inlineStr">
        <is>
          <t>Communication</t>
        </is>
      </c>
      <c r="B7" s="9" t="inlineStr">
        <is>
          <t>Planned, targeted change communications</t>
        </is>
      </c>
      <c r="C7" s="7" t="n">
        <v>3</v>
      </c>
      <c r="D7" s="9" t="inlineStr">
        <is>
          <t>Plan created, execution started</t>
        </is>
      </c>
      <c r="E7" s="7" t="n">
        <v>4</v>
      </c>
      <c r="F7" s="7">
        <f>IF(OR(C7="",E7=""),"",E7-C7)</f>
        <v/>
      </c>
      <c r="K7" s="4" t="inlineStr">
        <is>
          <t>SCORING GUIDE</t>
        </is>
      </c>
    </row>
    <row r="8">
      <c r="A8" s="9" t="inlineStr">
        <is>
          <t>Training &amp; Development</t>
        </is>
      </c>
      <c r="B8" s="9" t="inlineStr">
        <is>
          <t>Role-based training and capability building</t>
        </is>
      </c>
      <c r="C8" s="7" t="n">
        <v>2</v>
      </c>
      <c r="D8" s="9" t="inlineStr">
        <is>
          <t>Initial training delivered</t>
        </is>
      </c>
      <c r="E8" s="7" t="n">
        <v>4</v>
      </c>
      <c r="F8" s="7">
        <f>IF(OR(C8="",E8=""),"",E8-C8)</f>
        <v/>
      </c>
      <c r="K8" s="6" t="inlineStr">
        <is>
          <t>1 = No evidence</t>
        </is>
      </c>
    </row>
    <row r="9">
      <c r="A9" s="9" t="inlineStr">
        <is>
          <t>Change Network</t>
        </is>
      </c>
      <c r="B9" s="9" t="inlineStr">
        <is>
          <t>Established change agent infrastructure</t>
        </is>
      </c>
      <c r="C9" s="7" t="n">
        <v>2</v>
      </c>
      <c r="D9" s="9" t="inlineStr">
        <is>
          <t>8 change agents identified</t>
        </is>
      </c>
      <c r="E9" s="7" t="n">
        <v>3</v>
      </c>
      <c r="F9" s="7">
        <f>IF(OR(C9="",E9=""),"",E9-C9)</f>
        <v/>
      </c>
      <c r="K9" s="6" t="inlineStr">
        <is>
          <t>2 = Limited/inconsistent</t>
        </is>
      </c>
    </row>
    <row r="10">
      <c r="A10" s="9" t="inlineStr">
        <is>
          <t>Resistance Management</t>
        </is>
      </c>
      <c r="B10" s="9" t="inlineStr">
        <is>
          <t>Proactive identification and mitigation</t>
        </is>
      </c>
      <c r="C10" s="7" t="n">
        <v>2</v>
      </c>
      <c r="D10" s="9" t="inlineStr">
        <is>
          <t>Resistance log established</t>
        </is>
      </c>
      <c r="E10" s="7" t="n">
        <v>4</v>
      </c>
      <c r="F10" s="7">
        <f>IF(OR(C10="",E10=""),"",E10-C10)</f>
        <v/>
      </c>
      <c r="K10" s="6" t="inlineStr">
        <is>
          <t>3 = Defined process exists</t>
        </is>
      </c>
    </row>
    <row r="11">
      <c r="A11" s="9" t="inlineStr">
        <is>
          <t>Measurement &amp; Sustainment</t>
        </is>
      </c>
      <c r="B11" s="9" t="inlineStr">
        <is>
          <t>Metrics-driven improvement and reinforcement</t>
        </is>
      </c>
      <c r="C11" s="7" t="n">
        <v>2</v>
      </c>
      <c r="D11" s="9" t="inlineStr">
        <is>
          <t>KPIs defined, tracking started</t>
        </is>
      </c>
      <c r="E11" s="7" t="n">
        <v>4</v>
      </c>
      <c r="F11" s="7">
        <f>IF(OR(C11="",E11=""),"",E11-C11)</f>
        <v/>
      </c>
      <c r="K11" s="6" t="inlineStr">
        <is>
          <t>4 = Measured and managed</t>
        </is>
      </c>
    </row>
    <row r="12">
      <c r="K12" s="6" t="inlineStr">
        <is>
          <t>5 = Optimized, best practice</t>
        </is>
      </c>
    </row>
    <row r="13">
      <c r="A13" s="20" t="inlineStr">
        <is>
          <t>Overall Maturity Score</t>
        </is>
      </c>
      <c r="C13">
        <f>IFERROR(AVERAGE(C4:C11),"")</f>
        <v/>
      </c>
      <c r="E13">
        <f>IFERROR(AVERAGE(E4:E11),"")</f>
        <v/>
      </c>
      <c r="F13">
        <f>IF(OR(C13="",E13=""),"",E13-C13)</f>
        <v/>
      </c>
    </row>
    <row r="14">
      <c r="K14" s="4" t="inlineStr">
        <is>
          <t>HOW TO USE</t>
        </is>
      </c>
    </row>
    <row r="15">
      <c r="K15" s="6" t="inlineStr">
        <is>
          <t>1. Score current state (1-5)</t>
        </is>
      </c>
    </row>
    <row r="16">
      <c r="K16" s="6" t="inlineStr">
        <is>
          <t>2. Set target state</t>
        </is>
      </c>
    </row>
    <row r="17">
      <c r="K17" s="6" t="inlineStr">
        <is>
          <t>3. Document evidence</t>
        </is>
      </c>
    </row>
    <row r="18">
      <c r="K18" s="6" t="inlineStr">
        <is>
          <t>4. Review gaps</t>
        </is>
      </c>
    </row>
    <row r="19">
      <c r="K19" s="6" t="inlineStr">
        <is>
          <t>5. Plan improvements</t>
        </is>
      </c>
    </row>
    <row r="21">
      <c r="K21" s="4" t="inlineStr">
        <is>
          <t>TIP</t>
        </is>
      </c>
    </row>
    <row r="22">
      <c r="K22" s="6" t="inlineStr">
        <is>
          <t>Conduct assessment annually</t>
        </is>
      </c>
    </row>
    <row r="23">
      <c r="K23" s="6" t="inlineStr">
        <is>
          <t>or after major initiatives.</t>
        </is>
      </c>
    </row>
  </sheetData>
  <mergeCells count="1">
    <mergeCell ref="K1:L1"/>
  </mergeCells>
  <dataValidations count="1">
    <dataValidation sqref="C4:C11 E4:E11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26"/>
  <sheetViews>
    <sheetView workbookViewId="0">
      <pane xSplit="9" topLeftCell="J1" activePane="topRight" state="frozen"/>
      <selection pane="topRight" activeCell="A1" sqref="A1"/>
    </sheetView>
  </sheetViews>
  <sheetFormatPr baseColWidth="8" defaultRowHeight="15"/>
  <cols>
    <col width="8" customWidth="1" min="1" max="1"/>
    <col width="40" customWidth="1" min="2" max="2"/>
    <col width="10" customWidth="1" min="3" max="3"/>
    <col width="30" customWidth="1" min="4" max="4"/>
    <col width="30" customWidth="1" min="5" max="5"/>
    <col width="5" customWidth="1" min="7" max="7"/>
    <col width="30" customWidth="1" min="8" max="8"/>
    <col width="45" customWidth="1" min="10" max="10"/>
  </cols>
  <sheetData>
    <row r="1">
      <c r="G1" s="11" t="inlineStr">
        <is>
          <t>SCORING GUIDE</t>
        </is>
      </c>
      <c r="J1" s="2" t="inlineStr">
        <is>
          <t>INSTRUCTIONS</t>
        </is>
      </c>
    </row>
    <row r="2">
      <c r="G2" s="20" t="inlineStr">
        <is>
          <t>5</t>
        </is>
      </c>
      <c r="H2" t="inlineStr">
        <is>
          <t>Fully achieved, best practice</t>
        </is>
      </c>
    </row>
    <row r="3">
      <c r="A3" s="5" t="inlineStr">
        <is>
          <t>CSF #</t>
        </is>
      </c>
      <c r="B3" s="5" t="inlineStr">
        <is>
          <t>Critical Success Factor</t>
        </is>
      </c>
      <c r="C3" s="5" t="inlineStr">
        <is>
          <t>Score</t>
        </is>
      </c>
      <c r="D3" s="5" t="inlineStr">
        <is>
          <t>Evidence</t>
        </is>
      </c>
      <c r="E3" s="5" t="inlineStr">
        <is>
          <t>Actions Needed</t>
        </is>
      </c>
      <c r="G3" s="20" t="inlineStr">
        <is>
          <t>4</t>
        </is>
      </c>
      <c r="H3" t="inlineStr">
        <is>
          <t>Substantially achieved</t>
        </is>
      </c>
      <c r="J3" s="4" t="inlineStr">
        <is>
          <t>PURPOSE</t>
        </is>
      </c>
    </row>
    <row r="4">
      <c r="A4" s="7" t="n">
        <v>1</v>
      </c>
      <c r="B4" s="9" t="inlineStr">
        <is>
          <t>Executive Sponsorship and Commitment</t>
        </is>
      </c>
      <c r="C4" s="7" t="n">
        <v>5</v>
      </c>
      <c r="D4" s="9" t="inlineStr">
        <is>
          <t>CEO is active sponsor, monthly updates</t>
        </is>
      </c>
      <c r="E4" s="9" t="inlineStr">
        <is>
          <t>Maintain engagement cadence</t>
        </is>
      </c>
      <c r="G4" s="20" t="inlineStr">
        <is>
          <t>3</t>
        </is>
      </c>
      <c r="H4" t="inlineStr">
        <is>
          <t>Partially achieved</t>
        </is>
      </c>
      <c r="J4" s="6" t="inlineStr">
        <is>
          <t>Evaluate 8 Critical Success</t>
        </is>
      </c>
    </row>
    <row r="5">
      <c r="A5" s="7" t="n">
        <v>2</v>
      </c>
      <c r="B5" s="9" t="inlineStr">
        <is>
          <t>Clear Vision and Case for Change</t>
        </is>
      </c>
      <c r="C5" s="7" t="n">
        <v>4</v>
      </c>
      <c r="D5" s="9" t="inlineStr">
        <is>
          <t>Vision documented, ROI case approved</t>
        </is>
      </c>
      <c r="E5" s="9" t="inlineStr">
        <is>
          <t>Reinforce vision in communications</t>
        </is>
      </c>
      <c r="G5" s="20" t="inlineStr">
        <is>
          <t>2</t>
        </is>
      </c>
      <c r="H5" t="inlineStr">
        <is>
          <t>Limited achievement</t>
        </is>
      </c>
      <c r="J5" s="6" t="inlineStr">
        <is>
          <t>Factors for OCM effectiveness.</t>
        </is>
      </c>
    </row>
    <row r="6">
      <c r="A6" s="7" t="n">
        <v>3</v>
      </c>
      <c r="B6" s="9" t="inlineStr">
        <is>
          <t>Stakeholder Engagement and Involvement</t>
        </is>
      </c>
      <c r="C6" s="7" t="n">
        <v>3</v>
      </c>
      <c r="D6" s="9" t="inlineStr">
        <is>
          <t>Analysis complete, engagement in progress</t>
        </is>
      </c>
      <c r="E6" s="9" t="inlineStr">
        <is>
          <t>Increase middle mgmt engagement</t>
        </is>
      </c>
      <c r="G6" s="20" t="inlineStr">
        <is>
          <t>1</t>
        </is>
      </c>
      <c r="H6" t="inlineStr">
        <is>
          <t>Not achieved</t>
        </is>
      </c>
    </row>
    <row r="7">
      <c r="A7" s="7" t="n">
        <v>4</v>
      </c>
      <c r="B7" s="9" t="inlineStr">
        <is>
          <t>Effective Communication</t>
        </is>
      </c>
      <c r="C7" s="7" t="n">
        <v>3</v>
      </c>
      <c r="D7" s="9" t="inlineStr">
        <is>
          <t>Plan in place, execution underway</t>
        </is>
      </c>
      <c r="E7" s="9" t="inlineStr">
        <is>
          <t>Add more two-way channels</t>
        </is>
      </c>
      <c r="J7" s="4" t="inlineStr">
        <is>
          <t>CSF CATEGORIES</t>
        </is>
      </c>
    </row>
    <row r="8">
      <c r="A8" s="7" t="n">
        <v>5</v>
      </c>
      <c r="B8" s="9" t="inlineStr">
        <is>
          <t>Training and Capability Building</t>
        </is>
      </c>
      <c r="C8" s="7" t="n">
        <v>2</v>
      </c>
      <c r="D8" s="9" t="inlineStr">
        <is>
          <t>Initial curriculum designed</t>
        </is>
      </c>
      <c r="E8" s="9" t="inlineStr">
        <is>
          <t>Develop role-based training paths</t>
        </is>
      </c>
      <c r="J8" s="6" t="inlineStr">
        <is>
          <t>Leadership: CSF 1</t>
        </is>
      </c>
    </row>
    <row r="9">
      <c r="A9" s="7" t="n">
        <v>6</v>
      </c>
      <c r="B9" s="9" t="inlineStr">
        <is>
          <t>Change Agent Network</t>
        </is>
      </c>
      <c r="C9" s="7" t="n">
        <v>2</v>
      </c>
      <c r="D9" s="9" t="inlineStr">
        <is>
          <t>8 agents identified and trained</t>
        </is>
      </c>
      <c r="E9" s="9" t="inlineStr">
        <is>
          <t>Expand network to 20 agents</t>
        </is>
      </c>
      <c r="J9" s="6" t="inlineStr">
        <is>
          <t>Foundation: CSF 2</t>
        </is>
      </c>
    </row>
    <row r="10">
      <c r="A10" s="7" t="n">
        <v>7</v>
      </c>
      <c r="B10" s="9" t="inlineStr">
        <is>
          <t>Resistance Management</t>
        </is>
      </c>
      <c r="C10" s="7" t="n">
        <v>3</v>
      </c>
      <c r="D10" s="9" t="inlineStr">
        <is>
          <t>Log established, active monitoring</t>
        </is>
      </c>
      <c r="E10" s="9" t="inlineStr">
        <is>
          <t>Proactive outreach to resistors</t>
        </is>
      </c>
      <c r="J10" s="6" t="inlineStr">
        <is>
          <t>People: CSF 3</t>
        </is>
      </c>
    </row>
    <row r="11">
      <c r="A11" s="7" t="n">
        <v>8</v>
      </c>
      <c r="B11" s="9" t="inlineStr">
        <is>
          <t>Measurement and Reinforcement</t>
        </is>
      </c>
      <c r="C11" s="7" t="n">
        <v>2</v>
      </c>
      <c r="D11" s="9" t="inlineStr">
        <is>
          <t>KPIs defined, tracking started</t>
        </is>
      </c>
      <c r="E11" s="9" t="inlineStr">
        <is>
          <t>Establish reinforcement plan</t>
        </is>
      </c>
      <c r="J11" s="6" t="inlineStr">
        <is>
          <t>Communication: CSF 4</t>
        </is>
      </c>
    </row>
    <row r="12">
      <c r="J12" s="6" t="inlineStr">
        <is>
          <t>Enablement: CSF 5</t>
        </is>
      </c>
    </row>
    <row r="13">
      <c r="A13" t="inlineStr"/>
      <c r="B13" s="20" t="inlineStr">
        <is>
          <t>Overall CSF Score</t>
        </is>
      </c>
      <c r="C13">
        <f>IFERROR(AVERAGE(C4:C11),"")</f>
        <v/>
      </c>
      <c r="J13" s="6" t="inlineStr">
        <is>
          <t>Structure: CSF 6</t>
        </is>
      </c>
    </row>
    <row r="14">
      <c r="J14" s="6" t="inlineStr">
        <is>
          <t>Risk: CSF 7</t>
        </is>
      </c>
    </row>
    <row r="15">
      <c r="J15" s="6" t="inlineStr">
        <is>
          <t>Sustainability: CSF 8</t>
        </is>
      </c>
    </row>
    <row r="17">
      <c r="J17" s="4" t="inlineStr">
        <is>
          <t>HOW TO USE</t>
        </is>
      </c>
    </row>
    <row r="18">
      <c r="J18" s="6" t="inlineStr">
        <is>
          <t>1. Rate each CSF (1-5)</t>
        </is>
      </c>
    </row>
    <row r="19">
      <c r="J19" s="6" t="inlineStr">
        <is>
          <t>2. Document evidence</t>
        </is>
      </c>
    </row>
    <row r="20">
      <c r="J20" s="6" t="inlineStr">
        <is>
          <t>3. Identify actions needed</t>
        </is>
      </c>
    </row>
    <row r="21">
      <c r="J21" s="6" t="inlineStr">
        <is>
          <t>4. Review overall score</t>
        </is>
      </c>
    </row>
    <row r="23">
      <c r="J23" s="4" t="inlineStr">
        <is>
          <t>TIP</t>
        </is>
      </c>
    </row>
    <row r="24">
      <c r="J24" s="6" t="inlineStr">
        <is>
          <t>CSF 1 (Sponsorship) is the</t>
        </is>
      </c>
    </row>
    <row r="25">
      <c r="J25" s="6" t="inlineStr">
        <is>
          <t>strongest predictor of</t>
        </is>
      </c>
    </row>
    <row r="26">
      <c r="J26" s="6" t="inlineStr">
        <is>
          <t>change success.</t>
        </is>
      </c>
    </row>
  </sheetData>
  <mergeCells count="1">
    <mergeCell ref="J1:K1"/>
  </mergeCells>
  <dataValidations count="1">
    <dataValidation sqref="C4:C11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N23"/>
  <sheetViews>
    <sheetView workbookViewId="0">
      <pane xSplit="12" topLeftCell="M1" activePane="topRight" state="frozen"/>
      <selection pane="topRight" activeCell="A1" sqref="A1"/>
    </sheetView>
  </sheetViews>
  <sheetFormatPr baseColWidth="8" defaultRowHeight="15"/>
  <cols>
    <col width="10" customWidth="1" min="1" max="1"/>
    <col width="30" customWidth="1" min="2" max="2"/>
    <col width="15" customWidth="1" min="3" max="3"/>
    <col width="12" customWidth="1" min="4" max="4"/>
    <col width="10" customWidth="1" min="5" max="5"/>
    <col width="10" customWidth="1" min="6" max="6"/>
    <col width="30" customWidth="1" min="7" max="7"/>
    <col width="15" customWidth="1" min="8" max="8"/>
    <col width="12" customWidth="1" min="9" max="9"/>
    <col width="25" customWidth="1" min="11" max="11"/>
    <col width="45" customWidth="1" min="13" max="13"/>
  </cols>
  <sheetData>
    <row r="1">
      <c r="K1" s="11" t="inlineStr">
        <is>
          <t>RISK MATRIX</t>
        </is>
      </c>
      <c r="M1" s="2" t="inlineStr">
        <is>
          <t>INSTRUCTIONS</t>
        </is>
      </c>
    </row>
    <row r="2">
      <c r="A2" s="5" t="inlineStr">
        <is>
          <t>ID</t>
        </is>
      </c>
      <c r="B2" s="5" t="inlineStr">
        <is>
          <t>Risk Description</t>
        </is>
      </c>
      <c r="C2" s="5" t="inlineStr">
        <is>
          <t>Category</t>
        </is>
      </c>
      <c r="D2" s="5" t="inlineStr">
        <is>
          <t>Probability</t>
        </is>
      </c>
      <c r="E2" s="5" t="inlineStr">
        <is>
          <t>Impact</t>
        </is>
      </c>
      <c r="F2" s="5" t="inlineStr">
        <is>
          <t>Score</t>
        </is>
      </c>
      <c r="G2" s="5" t="inlineStr">
        <is>
          <t>Mitigation</t>
        </is>
      </c>
      <c r="H2" s="5" t="inlineStr">
        <is>
          <t>Owner</t>
        </is>
      </c>
      <c r="I2" s="5" t="inlineStr">
        <is>
          <t>Status</t>
        </is>
      </c>
      <c r="K2" t="inlineStr">
        <is>
          <t>Score = Probability x Impact</t>
        </is>
      </c>
    </row>
    <row r="3">
      <c r="A3" s="7" t="inlineStr">
        <is>
          <t>OCM-001</t>
        </is>
      </c>
      <c r="B3" s="9" t="inlineStr">
        <is>
          <t>Inadequate executive sponsorship</t>
        </is>
      </c>
      <c r="C3" s="9" t="inlineStr">
        <is>
          <t>Leadership</t>
        </is>
      </c>
      <c r="D3" s="7" t="inlineStr"/>
      <c r="E3" s="7" t="inlineStr"/>
      <c r="F3" s="7">
        <f>IF(OR(D3="",E3=""),"",D3*E3)</f>
        <v/>
      </c>
      <c r="G3" s="9" t="inlineStr"/>
      <c r="H3" s="9" t="inlineStr"/>
      <c r="I3" s="7" t="inlineStr">
        <is>
          <t>Open</t>
        </is>
      </c>
      <c r="K3" t="inlineStr">
        <is>
          <t>1-6: Low (Green)</t>
        </is>
      </c>
      <c r="M3" s="4" t="inlineStr">
        <is>
          <t>PURPOSE</t>
        </is>
      </c>
    </row>
    <row r="4">
      <c r="A4" s="7" t="inlineStr">
        <is>
          <t>OCM-002</t>
        </is>
      </c>
      <c r="B4" s="9" t="inlineStr">
        <is>
          <t>Resistance from key stakeholder groups</t>
        </is>
      </c>
      <c r="C4" s="9" t="inlineStr">
        <is>
          <t>People</t>
        </is>
      </c>
      <c r="D4" s="7" t="inlineStr"/>
      <c r="E4" s="7" t="inlineStr"/>
      <c r="F4" s="7">
        <f>IF(OR(D4="",E4=""),"",D4*E4)</f>
        <v/>
      </c>
      <c r="G4" s="9" t="inlineStr"/>
      <c r="H4" s="9" t="inlineStr"/>
      <c r="I4" s="7" t="inlineStr">
        <is>
          <t>Open</t>
        </is>
      </c>
      <c r="K4" t="inlineStr">
        <is>
          <t>8-12: Medium (Yellow)</t>
        </is>
      </c>
      <c r="M4" s="6" t="inlineStr">
        <is>
          <t>Track OCM-specific risks</t>
        </is>
      </c>
    </row>
    <row r="5">
      <c r="A5" s="7" t="inlineStr">
        <is>
          <t>OCM-003</t>
        </is>
      </c>
      <c r="B5" s="9" t="inlineStr">
        <is>
          <t>Insufficient training resources</t>
        </is>
      </c>
      <c r="C5" s="9" t="inlineStr">
        <is>
          <t>Capability</t>
        </is>
      </c>
      <c r="D5" s="7" t="inlineStr"/>
      <c r="E5" s="7" t="inlineStr"/>
      <c r="F5" s="7">
        <f>IF(OR(D5="",E5=""),"",D5*E5)</f>
        <v/>
      </c>
      <c r="G5" s="9" t="inlineStr"/>
      <c r="H5" s="9" t="inlineStr"/>
      <c r="I5" s="7" t="inlineStr">
        <is>
          <t>Open</t>
        </is>
      </c>
      <c r="K5" t="inlineStr">
        <is>
          <t>15-25: High (Red)</t>
        </is>
      </c>
      <c r="M5" s="6" t="inlineStr">
        <is>
          <t>with probability and impact.</t>
        </is>
      </c>
    </row>
    <row r="6">
      <c r="A6" s="7" t="inlineStr">
        <is>
          <t>OCM-004</t>
        </is>
      </c>
      <c r="B6" s="9" t="inlineStr">
        <is>
          <t>Communication gaps</t>
        </is>
      </c>
      <c r="C6" s="9" t="inlineStr">
        <is>
          <t>Communication</t>
        </is>
      </c>
      <c r="D6" s="7" t="inlineStr"/>
      <c r="E6" s="7" t="inlineStr"/>
      <c r="F6" s="7">
        <f>IF(OR(D6="",E6=""),"",D6*E6)</f>
        <v/>
      </c>
      <c r="G6" s="9" t="inlineStr"/>
      <c r="H6" s="9" t="inlineStr"/>
      <c r="I6" s="7" t="inlineStr">
        <is>
          <t>Open</t>
        </is>
      </c>
    </row>
    <row r="7">
      <c r="A7" s="7" t="inlineStr">
        <is>
          <t>OCM-005</t>
        </is>
      </c>
      <c r="B7" s="9" t="inlineStr">
        <is>
          <t>Timeline compression</t>
        </is>
      </c>
      <c r="C7" s="9" t="inlineStr">
        <is>
          <t>Schedule</t>
        </is>
      </c>
      <c r="D7" s="7" t="inlineStr"/>
      <c r="E7" s="7" t="inlineStr"/>
      <c r="F7" s="7">
        <f>IF(OR(D7="",E7=""),"",D7*E7)</f>
        <v/>
      </c>
      <c r="G7" s="9" t="inlineStr"/>
      <c r="H7" s="9" t="inlineStr"/>
      <c r="I7" s="7" t="inlineStr">
        <is>
          <t>Open</t>
        </is>
      </c>
      <c r="M7" s="4" t="inlineStr">
        <is>
          <t>CATEGORIES</t>
        </is>
      </c>
    </row>
    <row r="8">
      <c r="A8" s="9" t="inlineStr">
        <is>
          <t>OCM-006</t>
        </is>
      </c>
      <c r="B8" s="9" t="n"/>
      <c r="C8" s="9" t="n"/>
      <c r="D8" s="9" t="n"/>
      <c r="E8" s="9" t="n"/>
      <c r="F8" s="9">
        <f>IF(OR(D8="",E8=""),"",D8*E8)</f>
        <v/>
      </c>
      <c r="G8" s="9" t="n"/>
      <c r="H8" s="9" t="n"/>
      <c r="I8" s="9" t="inlineStr">
        <is>
          <t>Open</t>
        </is>
      </c>
      <c r="M8" s="6" t="inlineStr">
        <is>
          <t>Leadership - Sponsorship risks</t>
        </is>
      </c>
    </row>
    <row r="9">
      <c r="A9" s="9" t="inlineStr">
        <is>
          <t>OCM-007</t>
        </is>
      </c>
      <c r="B9" s="9" t="n"/>
      <c r="C9" s="9" t="n"/>
      <c r="D9" s="9" t="n"/>
      <c r="E9" s="9" t="n"/>
      <c r="F9" s="9">
        <f>IF(OR(D9="",E9=""),"",D9*E9)</f>
        <v/>
      </c>
      <c r="G9" s="9" t="n"/>
      <c r="H9" s="9" t="n"/>
      <c r="I9" s="9" t="inlineStr">
        <is>
          <t>Open</t>
        </is>
      </c>
      <c r="M9" s="6" t="inlineStr">
        <is>
          <t>People - Stakeholder resistance</t>
        </is>
      </c>
    </row>
    <row r="10">
      <c r="A10" s="9" t="inlineStr">
        <is>
          <t>OCM-008</t>
        </is>
      </c>
      <c r="B10" s="9" t="n"/>
      <c r="C10" s="9" t="n"/>
      <c r="D10" s="9" t="n"/>
      <c r="E10" s="9" t="n"/>
      <c r="F10" s="9">
        <f>IF(OR(D10="",E10=""),"",D10*E10)</f>
        <v/>
      </c>
      <c r="G10" s="9" t="n"/>
      <c r="H10" s="9" t="n"/>
      <c r="I10" s="9" t="inlineStr">
        <is>
          <t>Open</t>
        </is>
      </c>
      <c r="M10" s="6" t="inlineStr">
        <is>
          <t>Capability - Skills/training</t>
        </is>
      </c>
    </row>
    <row r="11">
      <c r="A11" s="9" t="inlineStr">
        <is>
          <t>OCM-009</t>
        </is>
      </c>
      <c r="B11" s="9" t="n"/>
      <c r="C11" s="9" t="n"/>
      <c r="D11" s="9" t="n"/>
      <c r="E11" s="9" t="n"/>
      <c r="F11" s="9">
        <f>IF(OR(D11="",E11=""),"",D11*E11)</f>
        <v/>
      </c>
      <c r="G11" s="9" t="n"/>
      <c r="H11" s="9" t="n"/>
      <c r="I11" s="9" t="inlineStr">
        <is>
          <t>Open</t>
        </is>
      </c>
      <c r="M11" s="6" t="inlineStr">
        <is>
          <t>Communication - Message gaps</t>
        </is>
      </c>
    </row>
    <row r="12">
      <c r="A12" s="9" t="inlineStr">
        <is>
          <t>OCM-010</t>
        </is>
      </c>
      <c r="B12" s="9" t="n"/>
      <c r="C12" s="9" t="n"/>
      <c r="D12" s="9" t="n"/>
      <c r="E12" s="9" t="n"/>
      <c r="F12" s="9">
        <f>IF(OR(D12="",E12=""),"",D12*E12)</f>
        <v/>
      </c>
      <c r="G12" s="9" t="n"/>
      <c r="H12" s="9" t="n"/>
      <c r="I12" s="9" t="inlineStr">
        <is>
          <t>Open</t>
        </is>
      </c>
      <c r="M12" s="6" t="inlineStr">
        <is>
          <t>Schedule - Timeline risks</t>
        </is>
      </c>
    </row>
    <row r="13">
      <c r="A13" s="9" t="inlineStr">
        <is>
          <t>OCM-011</t>
        </is>
      </c>
      <c r="B13" s="9" t="n"/>
      <c r="C13" s="9" t="n"/>
      <c r="D13" s="9" t="n"/>
      <c r="E13" s="9" t="n"/>
      <c r="F13" s="9">
        <f>IF(OR(D13="",E13=""),"",D13*E13)</f>
        <v/>
      </c>
      <c r="G13" s="9" t="n"/>
      <c r="H13" s="9" t="n"/>
      <c r="I13" s="9" t="inlineStr">
        <is>
          <t>Open</t>
        </is>
      </c>
      <c r="M13" s="6" t="inlineStr">
        <is>
          <t>Resource - Capacity issues</t>
        </is>
      </c>
    </row>
    <row r="14">
      <c r="A14" s="9" t="inlineStr">
        <is>
          <t>OCM-012</t>
        </is>
      </c>
      <c r="B14" s="9" t="n"/>
      <c r="C14" s="9" t="n"/>
      <c r="D14" s="9" t="n"/>
      <c r="E14" s="9" t="n"/>
      <c r="F14" s="9">
        <f>IF(OR(D14="",E14=""),"",D14*E14)</f>
        <v/>
      </c>
      <c r="G14" s="9" t="n"/>
      <c r="H14" s="9" t="n"/>
      <c r="I14" s="9" t="inlineStr">
        <is>
          <t>Open</t>
        </is>
      </c>
    </row>
    <row r="15">
      <c r="A15" s="9" t="inlineStr">
        <is>
          <t>OCM-013</t>
        </is>
      </c>
      <c r="B15" s="9" t="n"/>
      <c r="C15" s="9" t="n"/>
      <c r="D15" s="9" t="n"/>
      <c r="E15" s="9" t="n"/>
      <c r="F15" s="9">
        <f>IF(OR(D15="",E15=""),"",D15*E15)</f>
        <v/>
      </c>
      <c r="G15" s="9" t="n"/>
      <c r="H15" s="9" t="n"/>
      <c r="I15" s="9" t="inlineStr">
        <is>
          <t>Open</t>
        </is>
      </c>
      <c r="M15" s="4" t="inlineStr">
        <is>
          <t>SCORING</t>
        </is>
      </c>
    </row>
    <row r="16">
      <c r="A16" s="9" t="inlineStr">
        <is>
          <t>OCM-014</t>
        </is>
      </c>
      <c r="B16" s="9" t="n"/>
      <c r="C16" s="9" t="n"/>
      <c r="D16" s="9" t="n"/>
      <c r="E16" s="9" t="n"/>
      <c r="F16" s="9">
        <f>IF(OR(D16="",E16=""),"",D16*E16)</f>
        <v/>
      </c>
      <c r="G16" s="9" t="n"/>
      <c r="H16" s="9" t="n"/>
      <c r="I16" s="9" t="inlineStr">
        <is>
          <t>Open</t>
        </is>
      </c>
      <c r="M16" s="6" t="inlineStr">
        <is>
          <t>Probability: 1=Rare to 5=Certain</t>
        </is>
      </c>
    </row>
    <row r="17">
      <c r="A17" s="9" t="inlineStr">
        <is>
          <t>OCM-015</t>
        </is>
      </c>
      <c r="B17" s="9" t="n"/>
      <c r="C17" s="9" t="n"/>
      <c r="D17" s="9" t="n"/>
      <c r="E17" s="9" t="n"/>
      <c r="F17" s="9">
        <f>IF(OR(D17="",E17=""),"",D17*E17)</f>
        <v/>
      </c>
      <c r="G17" s="9" t="n"/>
      <c r="H17" s="9" t="n"/>
      <c r="I17" s="9" t="inlineStr">
        <is>
          <t>Open</t>
        </is>
      </c>
      <c r="M17" s="6" t="inlineStr">
        <is>
          <t>Impact: 1=Minor to 5=Critical</t>
        </is>
      </c>
    </row>
    <row r="18">
      <c r="A18" s="9" t="inlineStr">
        <is>
          <t>OCM-016</t>
        </is>
      </c>
      <c r="B18" s="9" t="n"/>
      <c r="C18" s="9" t="n"/>
      <c r="D18" s="9" t="n"/>
      <c r="E18" s="9" t="n"/>
      <c r="F18" s="9">
        <f>IF(OR(D18="",E18=""),"",D18*E18)</f>
        <v/>
      </c>
      <c r="G18" s="9" t="n"/>
      <c r="H18" s="9" t="n"/>
      <c r="I18" s="9" t="inlineStr">
        <is>
          <t>Open</t>
        </is>
      </c>
      <c r="M18" s="6" t="inlineStr">
        <is>
          <t>Score = P x I (auto-calculated)</t>
        </is>
      </c>
    </row>
    <row r="19">
      <c r="A19" s="9" t="inlineStr">
        <is>
          <t>OCM-017</t>
        </is>
      </c>
      <c r="B19" s="9" t="n"/>
      <c r="C19" s="9" t="n"/>
      <c r="D19" s="9" t="n"/>
      <c r="E19" s="9" t="n"/>
      <c r="F19" s="9">
        <f>IF(OR(D19="",E19=""),"",D19*E19)</f>
        <v/>
      </c>
      <c r="G19" s="9" t="n"/>
      <c r="H19" s="9" t="n"/>
      <c r="I19" s="9" t="inlineStr">
        <is>
          <t>Open</t>
        </is>
      </c>
    </row>
    <row r="20">
      <c r="A20" s="9" t="inlineStr">
        <is>
          <t>OCM-018</t>
        </is>
      </c>
      <c r="B20" s="9" t="n"/>
      <c r="C20" s="9" t="n"/>
      <c r="D20" s="9" t="n"/>
      <c r="E20" s="9" t="n"/>
      <c r="F20" s="9">
        <f>IF(OR(D20="",E20=""),"",D20*E20)</f>
        <v/>
      </c>
      <c r="G20" s="9" t="n"/>
      <c r="H20" s="9" t="n"/>
      <c r="I20" s="9" t="inlineStr">
        <is>
          <t>Open</t>
        </is>
      </c>
      <c r="M20" s="4" t="inlineStr">
        <is>
          <t>MANAGEMENT</t>
        </is>
      </c>
    </row>
    <row r="21">
      <c r="A21" s="9" t="inlineStr">
        <is>
          <t>OCM-019</t>
        </is>
      </c>
      <c r="B21" s="9" t="n"/>
      <c r="C21" s="9" t="n"/>
      <c r="D21" s="9" t="n"/>
      <c r="E21" s="9" t="n"/>
      <c r="F21" s="9">
        <f>IF(OR(D21="",E21=""),"",D21*E21)</f>
        <v/>
      </c>
      <c r="G21" s="9" t="n"/>
      <c r="H21" s="9" t="n"/>
      <c r="I21" s="9" t="inlineStr">
        <is>
          <t>Open</t>
        </is>
      </c>
      <c r="M21" s="6" t="inlineStr">
        <is>
          <t>High (15+): Escalate, urgent</t>
        </is>
      </c>
    </row>
    <row r="22">
      <c r="A22" s="9" t="inlineStr">
        <is>
          <t>OCM-020</t>
        </is>
      </c>
      <c r="B22" s="9" t="n"/>
      <c r="C22" s="9" t="n"/>
      <c r="D22" s="9" t="n"/>
      <c r="E22" s="9" t="n"/>
      <c r="F22" s="9">
        <f>IF(OR(D22="",E22=""),"",D22*E22)</f>
        <v/>
      </c>
      <c r="G22" s="9" t="n"/>
      <c r="H22" s="9" t="n"/>
      <c r="I22" s="9" t="inlineStr">
        <is>
          <t>Open</t>
        </is>
      </c>
      <c r="M22" s="6" t="inlineStr">
        <is>
          <t>Medium (8-14): Monitor closely</t>
        </is>
      </c>
    </row>
    <row r="23">
      <c r="M23" s="6" t="inlineStr">
        <is>
          <t>Low (1-6): Track, review monthly</t>
        </is>
      </c>
    </row>
  </sheetData>
  <mergeCells count="1">
    <mergeCell ref="M1:N1"/>
  </mergeCells>
  <dataValidations count="4">
    <dataValidation sqref="D3:D22" showDropDown="0" showInputMessage="0" showErrorMessage="0" allowBlank="1" error="Enter 1-5" type="whole" operator="between">
      <formula1>1</formula1>
      <formula2>5</formula2>
    </dataValidation>
    <dataValidation sqref="E3:E22" showDropDown="0" showInputMessage="0" showErrorMessage="0" allowBlank="1" error="Enter 1-5" type="whole" operator="between">
      <formula1>1</formula1>
      <formula2>5</formula2>
    </dataValidation>
    <dataValidation sqref="C3:C22" showDropDown="0" showInputMessage="0" showErrorMessage="0" allowBlank="1" type="list">
      <formula1>"Leadership,People,Capability,Communication,Schedule,Resource,Technical,External"</formula1>
    </dataValidation>
    <dataValidation sqref="I3:I22" showDropDown="0" showInputMessage="0" showErrorMessage="0" allowBlank="1" type="list">
      <formula1>"Open,Mitigating,Closed,Accepted"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L24"/>
  <sheetViews>
    <sheetView workbookViewId="0">
      <pane xSplit="10" topLeftCell="K1" activePane="topRight" state="frozen"/>
      <selection pane="topRight"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5" customWidth="1" min="4" max="4"/>
    <col width="15" customWidth="1" min="5" max="5"/>
    <col width="35" customWidth="1" min="6" max="6"/>
    <col width="5" customWidth="1" min="8" max="8"/>
    <col width="35" customWidth="1" min="9" max="9"/>
    <col width="45" customWidth="1" min="11" max="11"/>
  </cols>
  <sheetData>
    <row r="1">
      <c r="H1" s="11" t="inlineStr">
        <is>
          <t>IMPACT SCALE</t>
        </is>
      </c>
      <c r="K1" s="2" t="inlineStr">
        <is>
          <t>INSTRUCTIONS</t>
        </is>
      </c>
    </row>
    <row r="2">
      <c r="A2" s="5" t="inlineStr">
        <is>
          <t>Stakeholder Group</t>
        </is>
      </c>
      <c r="B2" s="5" t="inlineStr">
        <is>
          <t>Process Impact</t>
        </is>
      </c>
      <c r="C2" s="5" t="inlineStr">
        <is>
          <t>Technology Impact</t>
        </is>
      </c>
      <c r="D2" s="5" t="inlineStr">
        <is>
          <t>People Impact</t>
        </is>
      </c>
      <c r="E2" s="5" t="inlineStr">
        <is>
          <t>Overall Impact</t>
        </is>
      </c>
      <c r="F2" s="5" t="inlineStr">
        <is>
          <t>Readiness Actions</t>
        </is>
      </c>
      <c r="H2" s="20" t="inlineStr">
        <is>
          <t>5</t>
        </is>
      </c>
      <c r="I2" t="inlineStr">
        <is>
          <t>Transformational - Fundamental change</t>
        </is>
      </c>
    </row>
    <row r="3">
      <c r="A3" s="9" t="inlineStr">
        <is>
          <t>Executive Team</t>
        </is>
      </c>
      <c r="B3" s="7" t="inlineStr"/>
      <c r="C3" s="7" t="inlineStr"/>
      <c r="D3" s="7" t="inlineStr"/>
      <c r="E3" s="7">
        <f>IF(COUNTA(B3:D3)=0,"",ROUND(AVERAGE(B3:D3),0))</f>
        <v/>
      </c>
      <c r="F3" s="9" t="inlineStr"/>
      <c r="H3" s="20" t="inlineStr">
        <is>
          <t>4</t>
        </is>
      </c>
      <c r="I3" t="inlineStr">
        <is>
          <t>High - Significant change</t>
        </is>
      </c>
      <c r="K3" s="4" t="inlineStr">
        <is>
          <t>PURPOSE</t>
        </is>
      </c>
    </row>
    <row r="4">
      <c r="A4" s="9" t="inlineStr">
        <is>
          <t>IT Department</t>
        </is>
      </c>
      <c r="B4" s="7" t="inlineStr"/>
      <c r="C4" s="7" t="inlineStr"/>
      <c r="D4" s="7" t="inlineStr"/>
      <c r="E4" s="7">
        <f>IF(COUNTA(B4:D4)=0,"",ROUND(AVERAGE(B4:D4),0))</f>
        <v/>
      </c>
      <c r="F4" s="9" t="inlineStr"/>
      <c r="H4" s="20" t="inlineStr">
        <is>
          <t>3</t>
        </is>
      </c>
      <c r="I4" t="inlineStr">
        <is>
          <t>Moderate - Notable change</t>
        </is>
      </c>
      <c r="K4" s="6" t="inlineStr">
        <is>
          <t>Assess change impact by</t>
        </is>
      </c>
    </row>
    <row r="5">
      <c r="A5" s="9" t="inlineStr">
        <is>
          <t>Operations</t>
        </is>
      </c>
      <c r="B5" s="7" t="inlineStr"/>
      <c r="C5" s="7" t="inlineStr"/>
      <c r="D5" s="7" t="inlineStr"/>
      <c r="E5" s="7">
        <f>IF(COUNTA(B5:D5)=0,"",ROUND(AVERAGE(B5:D5),0))</f>
        <v/>
      </c>
      <c r="F5" s="9" t="inlineStr"/>
      <c r="H5" s="20" t="inlineStr">
        <is>
          <t>2</t>
        </is>
      </c>
      <c r="I5" t="inlineStr">
        <is>
          <t>Low - Minor adjustment</t>
        </is>
      </c>
      <c r="K5" s="6" t="inlineStr">
        <is>
          <t>stakeholder group across</t>
        </is>
      </c>
    </row>
    <row r="6">
      <c r="A6" s="9" t="inlineStr">
        <is>
          <t>Sales</t>
        </is>
      </c>
      <c r="B6" s="7" t="inlineStr"/>
      <c r="C6" s="7" t="inlineStr"/>
      <c r="D6" s="7" t="inlineStr"/>
      <c r="E6" s="7">
        <f>IF(COUNTA(B6:D6)=0,"",ROUND(AVERAGE(B6:D6),0))</f>
        <v/>
      </c>
      <c r="F6" s="9" t="inlineStr"/>
      <c r="H6" s="20" t="inlineStr">
        <is>
          <t>1</t>
        </is>
      </c>
      <c r="I6" t="inlineStr">
        <is>
          <t>Minimal - Little change</t>
        </is>
      </c>
      <c r="K6" s="6" t="inlineStr">
        <is>
          <t>process, technology, people.</t>
        </is>
      </c>
    </row>
    <row r="7">
      <c r="A7" s="9" t="inlineStr">
        <is>
          <t>Customer Service</t>
        </is>
      </c>
      <c r="B7" s="7" t="inlineStr"/>
      <c r="C7" s="7" t="inlineStr"/>
      <c r="D7" s="7" t="inlineStr"/>
      <c r="E7" s="7">
        <f>IF(COUNTA(B7:D7)=0,"",ROUND(AVERAGE(B7:D7),0))</f>
        <v/>
      </c>
      <c r="F7" s="9" t="inlineStr"/>
    </row>
    <row r="8">
      <c r="A8" s="9" t="inlineStr">
        <is>
          <t>HR</t>
        </is>
      </c>
      <c r="B8" s="7" t="inlineStr"/>
      <c r="C8" s="7" t="inlineStr"/>
      <c r="D8" s="7" t="inlineStr"/>
      <c r="E8" s="7">
        <f>IF(COUNTA(B8:D8)=0,"",ROUND(AVERAGE(B8:D8),0))</f>
        <v/>
      </c>
      <c r="F8" s="9" t="inlineStr"/>
      <c r="K8" s="4" t="inlineStr">
        <is>
          <t>IMPACT DIMENSIONS</t>
        </is>
      </c>
    </row>
    <row r="9">
      <c r="A9" s="9" t="inlineStr">
        <is>
          <t>Finance</t>
        </is>
      </c>
      <c r="B9" s="7" t="inlineStr"/>
      <c r="C9" s="7" t="inlineStr"/>
      <c r="D9" s="7" t="inlineStr"/>
      <c r="E9" s="7">
        <f>IF(COUNTA(B9:D9)=0,"",ROUND(AVERAGE(B9:D9),0))</f>
        <v/>
      </c>
      <c r="F9" s="9" t="inlineStr"/>
      <c r="K9" s="6" t="inlineStr">
        <is>
          <t>Process - Workflow changes</t>
        </is>
      </c>
    </row>
    <row r="10">
      <c r="A10" s="9" t="n"/>
      <c r="B10" s="9" t="n"/>
      <c r="C10" s="9" t="n"/>
      <c r="D10" s="9" t="n"/>
      <c r="E10" s="9">
        <f>IF(COUNTA(B10:D10)=0,"",ROUND(AVERAGE(B10:D10),0))</f>
        <v/>
      </c>
      <c r="F10" s="9" t="n"/>
      <c r="K10" s="6" t="inlineStr">
        <is>
          <t>Technology - System changes</t>
        </is>
      </c>
    </row>
    <row r="11">
      <c r="A11" s="9" t="n"/>
      <c r="B11" s="9" t="n"/>
      <c r="C11" s="9" t="n"/>
      <c r="D11" s="9" t="n"/>
      <c r="E11" s="9">
        <f>IF(COUNTA(B11:D11)=0,"",ROUND(AVERAGE(B11:D11),0))</f>
        <v/>
      </c>
      <c r="F11" s="9" t="n"/>
      <c r="K11" s="6" t="inlineStr">
        <is>
          <t>People - Role/skill changes</t>
        </is>
      </c>
    </row>
    <row r="12">
      <c r="A12" s="9" t="n"/>
      <c r="B12" s="9" t="n"/>
      <c r="C12" s="9" t="n"/>
      <c r="D12" s="9" t="n"/>
      <c r="E12" s="9">
        <f>IF(COUNTA(B12:D12)=0,"",ROUND(AVERAGE(B12:D12),0))</f>
        <v/>
      </c>
      <c r="F12" s="9" t="n"/>
    </row>
    <row r="13">
      <c r="A13" s="9" t="n"/>
      <c r="B13" s="9" t="n"/>
      <c r="C13" s="9" t="n"/>
      <c r="D13" s="9" t="n"/>
      <c r="E13" s="9">
        <f>IF(COUNTA(B13:D13)=0,"",ROUND(AVERAGE(B13:D13),0))</f>
        <v/>
      </c>
      <c r="F13" s="9" t="n"/>
      <c r="K13" s="4" t="inlineStr">
        <is>
          <t>HOW TO USE</t>
        </is>
      </c>
    </row>
    <row r="14">
      <c r="A14" s="9" t="n"/>
      <c r="B14" s="9" t="n"/>
      <c r="C14" s="9" t="n"/>
      <c r="D14" s="9" t="n"/>
      <c r="E14" s="9">
        <f>IF(COUNTA(B14:D14)=0,"",ROUND(AVERAGE(B14:D14),0))</f>
        <v/>
      </c>
      <c r="F14" s="9" t="n"/>
      <c r="K14" s="6" t="inlineStr">
        <is>
          <t>1. List all affected groups</t>
        </is>
      </c>
    </row>
    <row r="15">
      <c r="A15" s="9" t="n"/>
      <c r="B15" s="9" t="n"/>
      <c r="C15" s="9" t="n"/>
      <c r="D15" s="9" t="n"/>
      <c r="E15" s="9">
        <f>IF(COUNTA(B15:D15)=0,"",ROUND(AVERAGE(B15:D15),0))</f>
        <v/>
      </c>
      <c r="F15" s="9" t="n"/>
      <c r="K15" s="6" t="inlineStr">
        <is>
          <t>2. Rate each dimension (1-5)</t>
        </is>
      </c>
    </row>
    <row r="16">
      <c r="A16" s="9" t="n"/>
      <c r="B16" s="9" t="n"/>
      <c r="C16" s="9" t="n"/>
      <c r="D16" s="9" t="n"/>
      <c r="E16" s="9">
        <f>IF(COUNTA(B16:D16)=0,"",ROUND(AVERAGE(B16:D16),0))</f>
        <v/>
      </c>
      <c r="F16" s="9" t="n"/>
      <c r="K16" s="6" t="inlineStr">
        <is>
          <t>3. Overall auto-calculates</t>
        </is>
      </c>
    </row>
    <row r="17">
      <c r="A17" s="9" t="n"/>
      <c r="B17" s="9" t="n"/>
      <c r="C17" s="9" t="n"/>
      <c r="D17" s="9" t="n"/>
      <c r="E17" s="9">
        <f>IF(COUNTA(B17:D17)=0,"",ROUND(AVERAGE(B17:D17),0))</f>
        <v/>
      </c>
      <c r="F17" s="9" t="n"/>
      <c r="K17" s="6" t="inlineStr">
        <is>
          <t>4. Plan readiness actions</t>
        </is>
      </c>
    </row>
    <row r="18">
      <c r="A18" s="9" t="n"/>
      <c r="B18" s="9" t="n"/>
      <c r="C18" s="9" t="n"/>
      <c r="D18" s="9" t="n"/>
      <c r="E18" s="9">
        <f>IF(COUNTA(B18:D18)=0,"",ROUND(AVERAGE(B18:D18),0))</f>
        <v/>
      </c>
      <c r="F18" s="9" t="n"/>
    </row>
    <row r="19">
      <c r="A19" s="9" t="n"/>
      <c r="B19" s="9" t="n"/>
      <c r="C19" s="9" t="n"/>
      <c r="D19" s="9" t="n"/>
      <c r="E19" s="9">
        <f>IF(COUNTA(B19:D19)=0,"",ROUND(AVERAGE(B19:D19),0))</f>
        <v/>
      </c>
      <c r="F19" s="9" t="n"/>
      <c r="K19" s="4" t="inlineStr">
        <is>
          <t>READINESS ACTIONS</t>
        </is>
      </c>
    </row>
    <row r="20">
      <c r="A20" s="9" t="n"/>
      <c r="B20" s="9" t="n"/>
      <c r="C20" s="9" t="n"/>
      <c r="D20" s="9" t="n"/>
      <c r="E20" s="9">
        <f>IF(COUNTA(B20:D20)=0,"",ROUND(AVERAGE(B20:D20),0))</f>
        <v/>
      </c>
      <c r="F20" s="9" t="n"/>
      <c r="K20" s="6" t="inlineStr">
        <is>
          <t>High impact groups need:</t>
        </is>
      </c>
    </row>
    <row r="21">
      <c r="A21" s="9" t="n"/>
      <c r="B21" s="9" t="n"/>
      <c r="C21" s="9" t="n"/>
      <c r="D21" s="9" t="n"/>
      <c r="E21" s="9">
        <f>IF(COUNTA(B21:D21)=0,"",ROUND(AVERAGE(B21:D21),0))</f>
        <v/>
      </c>
      <c r="F21" s="9" t="n"/>
      <c r="K21" s="6" t="inlineStr">
        <is>
          <t>- More communication</t>
        </is>
      </c>
    </row>
    <row r="22">
      <c r="A22" s="9" t="n"/>
      <c r="B22" s="9" t="n"/>
      <c r="C22" s="9" t="n"/>
      <c r="D22" s="9" t="n"/>
      <c r="E22" s="9">
        <f>IF(COUNTA(B22:D22)=0,"",ROUND(AVERAGE(B22:D22),0))</f>
        <v/>
      </c>
      <c r="F22" s="9" t="n"/>
      <c r="K22" s="6" t="inlineStr">
        <is>
          <t>- Deeper training</t>
        </is>
      </c>
    </row>
    <row r="23">
      <c r="A23" s="9" t="n"/>
      <c r="B23" s="9" t="n"/>
      <c r="C23" s="9" t="n"/>
      <c r="D23" s="9" t="n"/>
      <c r="E23" s="9">
        <f>IF(COUNTA(B23:D23)=0,"",ROUND(AVERAGE(B23:D23),0))</f>
        <v/>
      </c>
      <c r="F23" s="9" t="n"/>
      <c r="K23" s="6" t="inlineStr">
        <is>
          <t>- Closer support</t>
        </is>
      </c>
    </row>
    <row r="24">
      <c r="A24" s="9" t="n"/>
      <c r="B24" s="9" t="n"/>
      <c r="C24" s="9" t="n"/>
      <c r="D24" s="9" t="n"/>
      <c r="E24" s="9">
        <f>IF(COUNTA(B24:D24)=0,"",ROUND(AVERAGE(B24:D24),0))</f>
        <v/>
      </c>
      <c r="F24" s="9" t="n"/>
      <c r="K24" s="6" t="inlineStr">
        <is>
          <t>- Earlier engagement</t>
        </is>
      </c>
    </row>
  </sheetData>
  <mergeCells count="1">
    <mergeCell ref="K1:L1"/>
  </mergeCells>
  <dataValidations count="1">
    <dataValidation sqref="B3:D24" showDropDown="0" showInputMessage="0" showErrorMessage="0" allowBlank="1" error="Enter 1-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2"/>
  <sheetViews>
    <sheetView workbookViewId="0">
      <pane xSplit="8" topLeftCell="I1" activePane="topRight" state="frozen"/>
      <selection pane="topRight" activeCell="A1" sqref="A1"/>
    </sheetView>
  </sheetViews>
  <sheetFormatPr baseColWidth="8" defaultRowHeight="15"/>
  <cols>
    <col width="35" customWidth="1" min="1" max="1"/>
    <col width="12" customWidth="1" min="2" max="2"/>
    <col width="20" customWidth="1" min="3" max="3"/>
    <col width="12" customWidth="1" min="4" max="4"/>
    <col width="12" customWidth="1" min="5" max="5"/>
    <col width="12" customWidth="1" min="6" max="6"/>
    <col width="30" customWidth="1" min="7" max="7"/>
    <col width="45" customWidth="1" min="9" max="9"/>
  </cols>
  <sheetData>
    <row r="1">
      <c r="I1" s="2" t="inlineStr">
        <is>
          <t>INSTRUCTIONS</t>
        </is>
      </c>
    </row>
    <row r="2">
      <c r="A2" s="5" t="inlineStr">
        <is>
          <t>Activity</t>
        </is>
      </c>
      <c r="B2" s="5" t="inlineStr">
        <is>
          <t>Phase</t>
        </is>
      </c>
      <c r="C2" s="5" t="inlineStr">
        <is>
          <t>Owner</t>
        </is>
      </c>
      <c r="D2" s="5" t="inlineStr">
        <is>
          <t>Status</t>
        </is>
      </c>
      <c r="E2" s="5" t="inlineStr">
        <is>
          <t>Start Date</t>
        </is>
      </c>
      <c r="F2" s="5" t="inlineStr">
        <is>
          <t>End Date</t>
        </is>
      </c>
      <c r="G2" s="5" t="inlineStr">
        <is>
          <t>Notes</t>
        </is>
      </c>
    </row>
    <row r="3">
      <c r="A3" s="9" t="inlineStr">
        <is>
          <t>Secure executive sponsorship</t>
        </is>
      </c>
      <c r="B3" s="9" t="inlineStr">
        <is>
          <t>Foundation</t>
        </is>
      </c>
      <c r="C3" s="9" t="inlineStr">
        <is>
          <t>Sarah Chen</t>
        </is>
      </c>
      <c r="D3" s="9" t="inlineStr">
        <is>
          <t>Complete</t>
        </is>
      </c>
      <c r="E3" s="9" t="inlineStr">
        <is>
          <t>2024-01-15</t>
        </is>
      </c>
      <c r="F3" s="9" t="inlineStr">
        <is>
          <t>2024-01-22</t>
        </is>
      </c>
      <c r="G3" s="9" t="inlineStr">
        <is>
          <t>CEO fully committed</t>
        </is>
      </c>
      <c r="I3" s="4" t="inlineStr">
        <is>
          <t>PURPOSE</t>
        </is>
      </c>
    </row>
    <row r="4">
      <c r="A4" s="9" t="inlineStr">
        <is>
          <t>Assess current OCM maturity</t>
        </is>
      </c>
      <c r="B4" s="9" t="inlineStr">
        <is>
          <t>Foundation</t>
        </is>
      </c>
      <c r="C4" s="9" t="inlineStr">
        <is>
          <t>Chris Lee</t>
        </is>
      </c>
      <c r="D4" s="9" t="inlineStr">
        <is>
          <t>Complete</t>
        </is>
      </c>
      <c r="E4" s="9" t="inlineStr">
        <is>
          <t>2024-01-23</t>
        </is>
      </c>
      <c r="F4" s="9" t="inlineStr">
        <is>
          <t>2024-02-05</t>
        </is>
      </c>
      <c r="G4" s="9" t="inlineStr">
        <is>
          <t>Level 2 - Emerging</t>
        </is>
      </c>
      <c r="I4" s="6" t="inlineStr">
        <is>
          <t>Track implementation activities</t>
        </is>
      </c>
    </row>
    <row r="5">
      <c r="A5" s="9" t="inlineStr">
        <is>
          <t>Define OCM vision and objectives</t>
        </is>
      </c>
      <c r="B5" s="9" t="inlineStr">
        <is>
          <t>Foundation</t>
        </is>
      </c>
      <c r="C5" s="9" t="inlineStr">
        <is>
          <t>Michael Torres</t>
        </is>
      </c>
      <c r="D5" s="9" t="inlineStr">
        <is>
          <t>Complete</t>
        </is>
      </c>
      <c r="E5" s="9" t="inlineStr">
        <is>
          <t>2024-02-06</t>
        </is>
      </c>
      <c r="F5" s="9" t="inlineStr">
        <is>
          <t>2024-02-15</t>
        </is>
      </c>
      <c r="G5" s="9" t="inlineStr">
        <is>
          <t>Vision approved by steering committee</t>
        </is>
      </c>
      <c r="I5" s="6" t="inlineStr">
        <is>
          <t>across 4 OCM capability phases.</t>
        </is>
      </c>
    </row>
    <row r="6">
      <c r="A6" s="9" t="inlineStr">
        <is>
          <t>Select OCM methodology</t>
        </is>
      </c>
      <c r="B6" s="9" t="inlineStr">
        <is>
          <t>Foundation</t>
        </is>
      </c>
      <c r="C6" s="9" t="inlineStr">
        <is>
          <t>Chris Lee</t>
        </is>
      </c>
      <c r="D6" s="9" t="inlineStr">
        <is>
          <t>Complete</t>
        </is>
      </c>
      <c r="E6" s="9" t="inlineStr">
        <is>
          <t>2024-02-16</t>
        </is>
      </c>
      <c r="F6" s="9" t="inlineStr">
        <is>
          <t>2024-02-28</t>
        </is>
      </c>
      <c r="G6" s="9" t="inlineStr">
        <is>
          <t>Prosci ADKAR selected</t>
        </is>
      </c>
    </row>
    <row r="7">
      <c r="A7" s="9" t="inlineStr">
        <is>
          <t>Identify pilot projects</t>
        </is>
      </c>
      <c r="B7" s="9" t="inlineStr">
        <is>
          <t>Foundation</t>
        </is>
      </c>
      <c r="C7" s="9" t="inlineStr">
        <is>
          <t>Jennifer Walsh</t>
        </is>
      </c>
      <c r="D7" s="9" t="inlineStr">
        <is>
          <t>Complete</t>
        </is>
      </c>
      <c r="E7" s="9" t="inlineStr">
        <is>
          <t>2024-03-01</t>
        </is>
      </c>
      <c r="F7" s="9" t="inlineStr">
        <is>
          <t>2024-03-10</t>
        </is>
      </c>
      <c r="G7" s="9" t="inlineStr">
        <is>
          <t>3 pilots identified</t>
        </is>
      </c>
      <c r="I7" s="4" t="inlineStr">
        <is>
          <t>PHASES</t>
        </is>
      </c>
    </row>
    <row r="8">
      <c r="A8" s="9" t="inlineStr">
        <is>
          <t>Build business case</t>
        </is>
      </c>
      <c r="B8" s="9" t="inlineStr">
        <is>
          <t>Foundation</t>
        </is>
      </c>
      <c r="C8" s="9" t="inlineStr">
        <is>
          <t>Lisa Johnson</t>
        </is>
      </c>
      <c r="D8" s="9" t="inlineStr">
        <is>
          <t>Complete</t>
        </is>
      </c>
      <c r="E8" s="9" t="inlineStr">
        <is>
          <t>2024-03-11</t>
        </is>
      </c>
      <c r="F8" s="9" t="inlineStr">
        <is>
          <t>2024-03-20</t>
        </is>
      </c>
      <c r="G8" s="9" t="inlineStr">
        <is>
          <t>ROI case approved</t>
        </is>
      </c>
      <c r="I8" s="6" t="inlineStr">
        <is>
          <t>Foundation (Months 1-3)</t>
        </is>
      </c>
    </row>
    <row r="9">
      <c r="A9" s="9" t="inlineStr">
        <is>
          <t>Apply methodology to pilots</t>
        </is>
      </c>
      <c r="B9" s="9" t="inlineStr">
        <is>
          <t>Pilot</t>
        </is>
      </c>
      <c r="C9" s="9" t="inlineStr">
        <is>
          <t>David Kim</t>
        </is>
      </c>
      <c r="D9" s="9" t="inlineStr">
        <is>
          <t>In Progress</t>
        </is>
      </c>
      <c r="E9" s="9" t="inlineStr">
        <is>
          <t>2024-03-21</t>
        </is>
      </c>
      <c r="F9" s="9" t="inlineStr"/>
      <c r="G9" s="9" t="inlineStr">
        <is>
          <t>Pilot 1 underway</t>
        </is>
      </c>
      <c r="I9" s="6" t="inlineStr">
        <is>
          <t>Pilot (Months 3-9)</t>
        </is>
      </c>
    </row>
    <row r="10">
      <c r="A10" s="9" t="inlineStr">
        <is>
          <t>Train pilot OCM leads</t>
        </is>
      </c>
      <c r="B10" s="9" t="inlineStr">
        <is>
          <t>Pilot</t>
        </is>
      </c>
      <c r="C10" s="9" t="inlineStr">
        <is>
          <t>Chris Lee</t>
        </is>
      </c>
      <c r="D10" s="9" t="inlineStr">
        <is>
          <t>Complete</t>
        </is>
      </c>
      <c r="E10" s="9" t="inlineStr">
        <is>
          <t>2024-03-25</t>
        </is>
      </c>
      <c r="F10" s="9" t="inlineStr">
        <is>
          <t>2024-04-05</t>
        </is>
      </c>
      <c r="G10" s="9" t="inlineStr">
        <is>
          <t>8 leads certified</t>
        </is>
      </c>
      <c r="I10" s="6" t="inlineStr">
        <is>
          <t>Expansion (Months 9-18)</t>
        </is>
      </c>
    </row>
    <row r="11">
      <c r="A11" s="9" t="inlineStr">
        <is>
          <t>Execute pilot change activities</t>
        </is>
      </c>
      <c r="B11" s="9" t="inlineStr">
        <is>
          <t>Pilot</t>
        </is>
      </c>
      <c r="C11" s="9" t="inlineStr">
        <is>
          <t>Amanda Foster</t>
        </is>
      </c>
      <c r="D11" s="9" t="inlineStr">
        <is>
          <t>In Progress</t>
        </is>
      </c>
      <c r="E11" s="9" t="inlineStr">
        <is>
          <t>2024-04-01</t>
        </is>
      </c>
      <c r="F11" s="9" t="inlineStr"/>
      <c r="G11" s="9" t="inlineStr">
        <is>
          <t>Week 6 of 12</t>
        </is>
      </c>
      <c r="I11" s="6" t="inlineStr">
        <is>
          <t>Optimization (Months 18+)</t>
        </is>
      </c>
    </row>
    <row r="12">
      <c r="A12" s="9" t="inlineStr">
        <is>
          <t>Capture lessons learned</t>
        </is>
      </c>
      <c r="B12" s="9" t="inlineStr">
        <is>
          <t>Pilot</t>
        </is>
      </c>
      <c r="C12" s="9" t="inlineStr">
        <is>
          <t>Emily Brown</t>
        </is>
      </c>
      <c r="D12" s="9" t="inlineStr">
        <is>
          <t>Not Started</t>
        </is>
      </c>
      <c r="E12" s="9" t="inlineStr"/>
      <c r="F12" s="9" t="inlineStr"/>
      <c r="G12" s="9" t="inlineStr"/>
    </row>
    <row r="13">
      <c r="A13" s="9" t="inlineStr">
        <is>
          <t>Demonstrate pilot value</t>
        </is>
      </c>
      <c r="B13" s="9" t="inlineStr">
        <is>
          <t>Pilot</t>
        </is>
      </c>
      <c r="C13" s="9" t="inlineStr">
        <is>
          <t>Michael Torres</t>
        </is>
      </c>
      <c r="D13" s="9" t="inlineStr">
        <is>
          <t>Not Started</t>
        </is>
      </c>
      <c r="E13" s="9" t="inlineStr"/>
      <c r="F13" s="9" t="inlineStr"/>
      <c r="G13" s="9" t="inlineStr"/>
      <c r="I13" s="4" t="inlineStr">
        <is>
          <t>HOW TO USE</t>
        </is>
      </c>
    </row>
    <row r="14">
      <c r="A14" s="9" t="inlineStr">
        <is>
          <t>Refine methodology</t>
        </is>
      </c>
      <c r="B14" s="9" t="inlineStr">
        <is>
          <t>Pilot</t>
        </is>
      </c>
      <c r="C14" s="9" t="inlineStr">
        <is>
          <t>Chris Lee</t>
        </is>
      </c>
      <c r="D14" s="9" t="inlineStr">
        <is>
          <t>Not Started</t>
        </is>
      </c>
      <c r="E14" s="9" t="inlineStr"/>
      <c r="F14" s="9" t="inlineStr"/>
      <c r="G14" s="9" t="inlineStr"/>
      <c r="I14" s="6" t="inlineStr">
        <is>
          <t>1. Assign owners to activities</t>
        </is>
      </c>
    </row>
    <row r="15">
      <c r="A15" s="9" t="inlineStr">
        <is>
          <t>Expand OCM coverage</t>
        </is>
      </c>
      <c r="B15" s="9" t="inlineStr">
        <is>
          <t>Expansion</t>
        </is>
      </c>
      <c r="C15" s="9" t="inlineStr"/>
      <c r="D15" s="9" t="inlineStr">
        <is>
          <t>Not Started</t>
        </is>
      </c>
      <c r="E15" s="9" t="inlineStr"/>
      <c r="F15" s="9" t="inlineStr"/>
      <c r="G15" s="9" t="inlineStr"/>
      <c r="I15" s="6" t="inlineStr">
        <is>
          <t>2. Update status as work progresses</t>
        </is>
      </c>
    </row>
    <row r="16">
      <c r="A16" s="9" t="inlineStr">
        <is>
          <t>Formalize policies and standards</t>
        </is>
      </c>
      <c r="B16" s="9" t="inlineStr">
        <is>
          <t>Expansion</t>
        </is>
      </c>
      <c r="C16" s="9" t="inlineStr"/>
      <c r="D16" s="9" t="inlineStr">
        <is>
          <t>Not Started</t>
        </is>
      </c>
      <c r="E16" s="9" t="inlineStr"/>
      <c r="F16" s="9" t="inlineStr"/>
      <c r="G16" s="9" t="inlineStr"/>
      <c r="I16" s="6" t="inlineStr">
        <is>
          <t>3. Add start/end dates</t>
        </is>
      </c>
    </row>
    <row r="17">
      <c r="A17" s="9" t="inlineStr">
        <is>
          <t>Integrate with project management</t>
        </is>
      </c>
      <c r="B17" s="9" t="inlineStr">
        <is>
          <t>Expansion</t>
        </is>
      </c>
      <c r="C17" s="9" t="inlineStr"/>
      <c r="D17" s="9" t="inlineStr">
        <is>
          <t>Not Started</t>
        </is>
      </c>
      <c r="E17" s="9" t="inlineStr"/>
      <c r="F17" s="9" t="inlineStr"/>
      <c r="G17" s="9" t="inlineStr"/>
      <c r="I17" s="6" t="inlineStr">
        <is>
          <t>4. Add new activities as needed</t>
        </is>
      </c>
    </row>
    <row r="18">
      <c r="A18" s="9" t="inlineStr">
        <is>
          <t>Build change agent network</t>
        </is>
      </c>
      <c r="B18" s="9" t="inlineStr">
        <is>
          <t>Expansion</t>
        </is>
      </c>
      <c r="C18" s="9" t="inlineStr"/>
      <c r="D18" s="9" t="inlineStr">
        <is>
          <t>Not Started</t>
        </is>
      </c>
      <c r="E18" s="9" t="inlineStr"/>
      <c r="F18" s="9" t="inlineStr"/>
      <c r="G18" s="9" t="inlineStr"/>
    </row>
    <row r="19">
      <c r="A19" s="9" t="inlineStr">
        <is>
          <t>Develop manager orientation</t>
        </is>
      </c>
      <c r="B19" s="9" t="inlineStr">
        <is>
          <t>Expansion</t>
        </is>
      </c>
      <c r="C19" s="9" t="inlineStr"/>
      <c r="D19" s="9" t="inlineStr">
        <is>
          <t>Not Started</t>
        </is>
      </c>
      <c r="E19" s="9" t="inlineStr"/>
      <c r="F19" s="9" t="inlineStr"/>
      <c r="G19" s="9" t="inlineStr"/>
      <c r="I19" s="4" t="inlineStr">
        <is>
          <t>STATUS VALUES</t>
        </is>
      </c>
    </row>
    <row r="20">
      <c r="A20" s="9" t="inlineStr">
        <is>
          <t>Establish governance</t>
        </is>
      </c>
      <c r="B20" s="9" t="inlineStr">
        <is>
          <t>Expansion</t>
        </is>
      </c>
      <c r="C20" s="9" t="inlineStr"/>
      <c r="D20" s="9" t="inlineStr">
        <is>
          <t>Not Started</t>
        </is>
      </c>
      <c r="E20" s="9" t="inlineStr"/>
      <c r="F20" s="9" t="inlineStr"/>
      <c r="G20" s="9" t="inlineStr"/>
      <c r="I20" s="6" t="inlineStr">
        <is>
          <t>Not Started - Planned</t>
        </is>
      </c>
    </row>
    <row r="21">
      <c r="A21" s="9" t="inlineStr">
        <is>
          <t>Implement data-driven improvement</t>
        </is>
      </c>
      <c r="B21" s="9" t="inlineStr">
        <is>
          <t>Optimization</t>
        </is>
      </c>
      <c r="C21" s="9" t="inlineStr"/>
      <c r="D21" s="9" t="inlineStr">
        <is>
          <t>Not Started</t>
        </is>
      </c>
      <c r="E21" s="9" t="inlineStr"/>
      <c r="F21" s="9" t="inlineStr"/>
      <c r="G21" s="9" t="inlineStr"/>
      <c r="I21" s="6" t="inlineStr">
        <is>
          <t>In Progress - Underway</t>
        </is>
      </c>
    </row>
    <row r="22">
      <c r="A22" s="9" t="inlineStr">
        <is>
          <t>Build change-ready culture</t>
        </is>
      </c>
      <c r="B22" s="9" t="inlineStr">
        <is>
          <t>Optimization</t>
        </is>
      </c>
      <c r="C22" s="9" t="inlineStr"/>
      <c r="D22" s="9" t="inlineStr">
        <is>
          <t>Not Started</t>
        </is>
      </c>
      <c r="E22" s="9" t="inlineStr"/>
      <c r="F22" s="9" t="inlineStr"/>
      <c r="G22" s="9" t="inlineStr"/>
      <c r="I22" s="6" t="inlineStr">
        <is>
          <t>Complete - Done</t>
        </is>
      </c>
    </row>
    <row r="23">
      <c r="A23" s="9" t="inlineStr">
        <is>
          <t>Integrate with leadership development</t>
        </is>
      </c>
      <c r="B23" s="9" t="inlineStr">
        <is>
          <t>Optimization</t>
        </is>
      </c>
      <c r="C23" s="9" t="inlineStr"/>
      <c r="D23" s="9" t="inlineStr">
        <is>
          <t>Not Started</t>
        </is>
      </c>
      <c r="E23" s="9" t="inlineStr"/>
      <c r="F23" s="9" t="inlineStr"/>
      <c r="G23" s="9" t="inlineStr"/>
      <c r="I23" s="6" t="inlineStr">
        <is>
          <t>On Hold - Paused</t>
        </is>
      </c>
    </row>
    <row r="24">
      <c r="A24" s="9" t="inlineStr">
        <is>
          <t>Establish continuous improvement</t>
        </is>
      </c>
      <c r="B24" s="9" t="inlineStr">
        <is>
          <t>Optimization</t>
        </is>
      </c>
      <c r="C24" s="9" t="inlineStr"/>
      <c r="D24" s="9" t="inlineStr">
        <is>
          <t>Not Started</t>
        </is>
      </c>
      <c r="E24" s="9" t="inlineStr"/>
      <c r="F24" s="9" t="inlineStr"/>
      <c r="G24" s="9" t="inlineStr"/>
    </row>
    <row r="25">
      <c r="A25" s="9" t="inlineStr">
        <is>
          <t>Plan practitioner succession</t>
        </is>
      </c>
      <c r="B25" s="9" t="inlineStr">
        <is>
          <t>Optimization</t>
        </is>
      </c>
      <c r="C25" s="9" t="inlineStr"/>
      <c r="D25" s="9" t="inlineStr">
        <is>
          <t>Not Started</t>
        </is>
      </c>
      <c r="E25" s="9" t="inlineStr"/>
      <c r="F25" s="9" t="inlineStr"/>
      <c r="G25" s="9" t="inlineStr"/>
    </row>
    <row r="26">
      <c r="A26" s="9" t="inlineStr">
        <is>
          <t>Benchmark against industry</t>
        </is>
      </c>
      <c r="B26" s="9" t="inlineStr">
        <is>
          <t>Optimization</t>
        </is>
      </c>
      <c r="C26" s="9" t="inlineStr"/>
      <c r="D26" s="9" t="inlineStr">
        <is>
          <t>Not Started</t>
        </is>
      </c>
      <c r="E26" s="9" t="inlineStr"/>
      <c r="F26" s="9" t="inlineStr"/>
      <c r="G26" s="9" t="inlineStr"/>
    </row>
    <row r="27">
      <c r="A27" s="9" t="inlineStr">
        <is>
          <t>Contribute to OCM body of knowledge</t>
        </is>
      </c>
      <c r="B27" s="9" t="inlineStr">
        <is>
          <t>Optimization</t>
        </is>
      </c>
      <c r="C27" s="9" t="inlineStr"/>
      <c r="D27" s="9" t="inlineStr">
        <is>
          <t>Not Started</t>
        </is>
      </c>
      <c r="E27" s="9" t="inlineStr"/>
      <c r="F27" s="9" t="inlineStr"/>
      <c r="G27" s="9" t="inlineStr"/>
    </row>
    <row r="28">
      <c r="A28" s="9" t="n"/>
      <c r="B28" s="9" t="n"/>
      <c r="C28" s="9" t="n"/>
      <c r="D28" s="9" t="n"/>
      <c r="E28" s="9" t="n"/>
      <c r="F28" s="9" t="n"/>
      <c r="G28" s="9" t="n"/>
    </row>
    <row r="29">
      <c r="A29" s="9" t="n"/>
      <c r="B29" s="9" t="n"/>
      <c r="C29" s="9" t="n"/>
      <c r="D29" s="9" t="n"/>
      <c r="E29" s="9" t="n"/>
      <c r="F29" s="9" t="n"/>
      <c r="G29" s="9" t="n"/>
    </row>
    <row r="30">
      <c r="A30" s="9" t="n"/>
      <c r="B30" s="9" t="n"/>
      <c r="C30" s="9" t="n"/>
      <c r="D30" s="9" t="n"/>
      <c r="E30" s="9" t="n"/>
      <c r="F30" s="9" t="n"/>
      <c r="G30" s="9" t="n"/>
    </row>
    <row r="31">
      <c r="A31" s="9" t="n"/>
      <c r="B31" s="9" t="n"/>
      <c r="C31" s="9" t="n"/>
      <c r="D31" s="9" t="n"/>
      <c r="E31" s="9" t="n"/>
      <c r="F31" s="9" t="n"/>
      <c r="G31" s="9" t="n"/>
    </row>
    <row r="32">
      <c r="A32" s="9" t="n"/>
      <c r="B32" s="9" t="n"/>
      <c r="C32" s="9" t="n"/>
      <c r="D32" s="9" t="n"/>
      <c r="E32" s="9" t="n"/>
      <c r="F32" s="9" t="n"/>
      <c r="G32" s="9" t="n"/>
    </row>
    <row r="33">
      <c r="A33" s="9" t="n"/>
      <c r="B33" s="9" t="n"/>
      <c r="C33" s="9" t="n"/>
      <c r="D33" s="9" t="n"/>
      <c r="E33" s="9" t="n"/>
      <c r="F33" s="9" t="n"/>
      <c r="G33" s="9" t="n"/>
    </row>
    <row r="34">
      <c r="A34" s="9" t="n"/>
      <c r="B34" s="9" t="n"/>
      <c r="C34" s="9" t="n"/>
      <c r="D34" s="9" t="n"/>
      <c r="E34" s="9" t="n"/>
      <c r="F34" s="9" t="n"/>
      <c r="G34" s="9" t="n"/>
    </row>
    <row r="35">
      <c r="A35" s="9" t="n"/>
      <c r="B35" s="9" t="n"/>
      <c r="C35" s="9" t="n"/>
      <c r="D35" s="9" t="n"/>
      <c r="E35" s="9" t="n"/>
      <c r="F35" s="9" t="n"/>
      <c r="G35" s="9" t="n"/>
    </row>
    <row r="36">
      <c r="A36" s="9" t="n"/>
      <c r="B36" s="9" t="n"/>
      <c r="C36" s="9" t="n"/>
      <c r="D36" s="9" t="n"/>
      <c r="E36" s="9" t="n"/>
      <c r="F36" s="9" t="n"/>
      <c r="G36" s="9" t="n"/>
    </row>
    <row r="37">
      <c r="A37" s="9" t="n"/>
      <c r="B37" s="9" t="n"/>
      <c r="C37" s="9" t="n"/>
      <c r="D37" s="9" t="n"/>
      <c r="E37" s="9" t="n"/>
      <c r="F37" s="9" t="n"/>
      <c r="G37" s="9" t="n"/>
    </row>
    <row r="38">
      <c r="A38" s="9" t="n"/>
      <c r="B38" s="9" t="n"/>
      <c r="C38" s="9" t="n"/>
      <c r="D38" s="9" t="n"/>
      <c r="E38" s="9" t="n"/>
      <c r="F38" s="9" t="n"/>
      <c r="G38" s="9" t="n"/>
    </row>
    <row r="39">
      <c r="A39" s="9" t="n"/>
      <c r="B39" s="9" t="n"/>
      <c r="C39" s="9" t="n"/>
      <c r="D39" s="9" t="n"/>
      <c r="E39" s="9" t="n"/>
      <c r="F39" s="9" t="n"/>
      <c r="G39" s="9" t="n"/>
    </row>
    <row r="40">
      <c r="A40" s="9" t="n"/>
      <c r="B40" s="9" t="n"/>
      <c r="C40" s="9" t="n"/>
      <c r="D40" s="9" t="n"/>
      <c r="E40" s="9" t="n"/>
      <c r="F40" s="9" t="n"/>
      <c r="G40" s="9" t="n"/>
    </row>
    <row r="41">
      <c r="A41" s="9" t="n"/>
      <c r="B41" s="9" t="n"/>
      <c r="C41" s="9" t="n"/>
      <c r="D41" s="9" t="n"/>
      <c r="E41" s="9" t="n"/>
      <c r="F41" s="9" t="n"/>
      <c r="G41" s="9" t="n"/>
    </row>
    <row r="42">
      <c r="A42" s="9" t="n"/>
      <c r="B42" s="9" t="n"/>
      <c r="C42" s="9" t="n"/>
      <c r="D42" s="9" t="n"/>
      <c r="E42" s="9" t="n"/>
      <c r="F42" s="9" t="n"/>
      <c r="G42" s="9" t="n"/>
    </row>
    <row r="43">
      <c r="A43" s="9" t="n"/>
      <c r="B43" s="9" t="n"/>
      <c r="C43" s="9" t="n"/>
      <c r="D43" s="9" t="n"/>
      <c r="E43" s="9" t="n"/>
      <c r="F43" s="9" t="n"/>
      <c r="G43" s="9" t="n"/>
    </row>
    <row r="44">
      <c r="A44" s="9" t="n"/>
      <c r="B44" s="9" t="n"/>
      <c r="C44" s="9" t="n"/>
      <c r="D44" s="9" t="n"/>
      <c r="E44" s="9" t="n"/>
      <c r="F44" s="9" t="n"/>
      <c r="G44" s="9" t="n"/>
    </row>
    <row r="45">
      <c r="A45" s="9" t="n"/>
      <c r="B45" s="9" t="n"/>
      <c r="C45" s="9" t="n"/>
      <c r="D45" s="9" t="n"/>
      <c r="E45" s="9" t="n"/>
      <c r="F45" s="9" t="n"/>
      <c r="G45" s="9" t="n"/>
    </row>
    <row r="46">
      <c r="A46" s="9" t="n"/>
      <c r="B46" s="9" t="n"/>
      <c r="C46" s="9" t="n"/>
      <c r="D46" s="9" t="n"/>
      <c r="E46" s="9" t="n"/>
      <c r="F46" s="9" t="n"/>
      <c r="G46" s="9" t="n"/>
    </row>
    <row r="47">
      <c r="A47" s="9" t="n"/>
      <c r="B47" s="9" t="n"/>
      <c r="C47" s="9" t="n"/>
      <c r="D47" s="9" t="n"/>
      <c r="E47" s="9" t="n"/>
      <c r="F47" s="9" t="n"/>
      <c r="G47" s="9" t="n"/>
    </row>
    <row r="48">
      <c r="A48" s="9" t="n"/>
      <c r="B48" s="9" t="n"/>
      <c r="C48" s="9" t="n"/>
      <c r="D48" s="9" t="n"/>
      <c r="E48" s="9" t="n"/>
      <c r="F48" s="9" t="n"/>
      <c r="G48" s="9" t="n"/>
    </row>
    <row r="49">
      <c r="A49" s="9" t="n"/>
      <c r="B49" s="9" t="n"/>
      <c r="C49" s="9" t="n"/>
      <c r="D49" s="9" t="n"/>
      <c r="E49" s="9" t="n"/>
      <c r="F49" s="9" t="n"/>
      <c r="G49" s="9" t="n"/>
    </row>
    <row r="50">
      <c r="A50" s="9" t="n"/>
      <c r="B50" s="9" t="n"/>
      <c r="C50" s="9" t="n"/>
      <c r="D50" s="9" t="n"/>
      <c r="E50" s="9" t="n"/>
      <c r="F50" s="9" t="n"/>
      <c r="G50" s="9" t="n"/>
    </row>
    <row r="51">
      <c r="A51" s="9" t="n"/>
      <c r="B51" s="9" t="n"/>
      <c r="C51" s="9" t="n"/>
      <c r="D51" s="9" t="n"/>
      <c r="E51" s="9" t="n"/>
      <c r="F51" s="9" t="n"/>
      <c r="G51" s="9" t="n"/>
    </row>
    <row r="52">
      <c r="A52" s="9" t="n"/>
      <c r="B52" s="9" t="n"/>
      <c r="C52" s="9" t="n"/>
      <c r="D52" s="9" t="n"/>
      <c r="E52" s="9" t="n"/>
      <c r="F52" s="9" t="n"/>
      <c r="G52" s="9" t="n"/>
    </row>
  </sheetData>
  <mergeCells count="1">
    <mergeCell ref="I1:J1"/>
  </mergeCells>
  <dataValidations count="2">
    <dataValidation sqref="B3:B52" showDropDown="0" showInputMessage="0" showErrorMessage="0" allowBlank="1" type="list">
      <formula1>"Foundation,Pilot,Expansion,Optimization"</formula1>
    </dataValidation>
    <dataValidation sqref="D3:D52" showDropDown="0" showInputMessage="0" showErrorMessage="0" allowBlank="1" type="list">
      <formula1>"Not Started,In Progress,Complete,On Hold"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9"/>
  <sheetViews>
    <sheetView workbookViewId="0">
      <pane xSplit="9" topLeftCell="J1" activePane="topRight" state="frozen"/>
      <selection pane="topRight"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12" customWidth="1" min="7" max="7"/>
    <col width="15" customWidth="1" min="8" max="8"/>
    <col width="45" customWidth="1" min="10" max="10"/>
  </cols>
  <sheetData>
    <row r="1">
      <c r="J1" s="2" t="inlineStr">
        <is>
          <t>INSTRUCTIONS</t>
        </is>
      </c>
    </row>
    <row r="2">
      <c r="A2" s="5" t="inlineStr">
        <is>
          <t>Stakeholder/Group</t>
        </is>
      </c>
      <c r="B2" s="5" t="inlineStr">
        <is>
          <t>Awareness</t>
        </is>
      </c>
      <c r="C2" s="5" t="inlineStr">
        <is>
          <t>Desire</t>
        </is>
      </c>
      <c r="D2" s="5" t="inlineStr">
        <is>
          <t>Knowledge</t>
        </is>
      </c>
      <c r="E2" s="5" t="inlineStr">
        <is>
          <t>Ability</t>
        </is>
      </c>
      <c r="F2" s="5" t="inlineStr">
        <is>
          <t>Reinforcement</t>
        </is>
      </c>
      <c r="G2" s="5" t="inlineStr">
        <is>
          <t>Avg Score</t>
        </is>
      </c>
      <c r="H2" s="5" t="inlineStr">
        <is>
          <t>Barrier Point</t>
        </is>
      </c>
    </row>
    <row r="3">
      <c r="A3" s="9" t="inlineStr">
        <is>
          <t>Executive Team</t>
        </is>
      </c>
      <c r="B3" s="7" t="n">
        <v>5</v>
      </c>
      <c r="C3" s="7" t="n">
        <v>5</v>
      </c>
      <c r="D3" s="7" t="n">
        <v>4</v>
      </c>
      <c r="E3" s="7" t="n">
        <v>4</v>
      </c>
      <c r="F3" s="7" t="n">
        <v>3</v>
      </c>
      <c r="G3" s="7">
        <f>IF(COUNTA(B3:F3)=0,"",AVERAGE(B3:F3))</f>
        <v/>
      </c>
      <c r="H3" s="7">
        <f>IF(COUNTA(B3:F3)=0,"",INDEX($B$2:$F$2,MATCH(MIN(B3:F3),B3:F3,0)))</f>
        <v/>
      </c>
      <c r="J3" s="4" t="inlineStr">
        <is>
          <t>PURPOSE</t>
        </is>
      </c>
    </row>
    <row r="4">
      <c r="A4" s="9" t="inlineStr">
        <is>
          <t>Senior Leadership</t>
        </is>
      </c>
      <c r="B4" s="7" t="n">
        <v>5</v>
      </c>
      <c r="C4" s="7" t="n">
        <v>4</v>
      </c>
      <c r="D4" s="7" t="n">
        <v>4</v>
      </c>
      <c r="E4" s="7" t="n">
        <v>3</v>
      </c>
      <c r="F4" s="7" t="n">
        <v>3</v>
      </c>
      <c r="G4" s="7">
        <f>IF(COUNTA(B4:F4)=0,"",AVERAGE(B4:F4))</f>
        <v/>
      </c>
      <c r="H4" s="7">
        <f>IF(COUNTA(B4:F4)=0,"",INDEX($B$2:$F$2,MATCH(MIN(B4:F4),B4:F4,0)))</f>
        <v/>
      </c>
      <c r="J4" s="6" t="inlineStr">
        <is>
          <t>Assess stakeholder readiness</t>
        </is>
      </c>
    </row>
    <row r="5">
      <c r="A5" s="9" t="inlineStr">
        <is>
          <t>Middle Managers</t>
        </is>
      </c>
      <c r="B5" s="7" t="n">
        <v>4</v>
      </c>
      <c r="C5" s="7" t="n">
        <v>3</v>
      </c>
      <c r="D5" s="7" t="n">
        <v>3</v>
      </c>
      <c r="E5" s="7" t="n">
        <v>2</v>
      </c>
      <c r="F5" s="7" t="n">
        <v>2</v>
      </c>
      <c r="G5" s="7">
        <f>IF(COUNTA(B5:F5)=0,"",AVERAGE(B5:F5))</f>
        <v/>
      </c>
      <c r="H5" s="7">
        <f>IF(COUNTA(B5:F5)=0,"",INDEX($B$2:$F$2,MATCH(MIN(B5:F5),B5:F5,0)))</f>
        <v/>
      </c>
      <c r="J5" s="6" t="inlineStr">
        <is>
          <t>using the ADKAR model.</t>
        </is>
      </c>
    </row>
    <row r="6">
      <c r="A6" s="9" t="inlineStr">
        <is>
          <t>IT Department</t>
        </is>
      </c>
      <c r="B6" s="7" t="n">
        <v>5</v>
      </c>
      <c r="C6" s="7" t="n">
        <v>4</v>
      </c>
      <c r="D6" s="7" t="n">
        <v>4</v>
      </c>
      <c r="E6" s="7" t="n">
        <v>4</v>
      </c>
      <c r="F6" s="7" t="n">
        <v>3</v>
      </c>
      <c r="G6" s="7">
        <f>IF(COUNTA(B6:F6)=0,"",AVERAGE(B6:F6))</f>
        <v/>
      </c>
      <c r="H6" s="7">
        <f>IF(COUNTA(B6:F6)=0,"",INDEX($B$2:$F$2,MATCH(MIN(B6:F6),B6:F6,0)))</f>
        <v/>
      </c>
    </row>
    <row r="7">
      <c r="A7" s="9" t="inlineStr">
        <is>
          <t>HR/Training Team</t>
        </is>
      </c>
      <c r="B7" s="7" t="n">
        <v>5</v>
      </c>
      <c r="C7" s="7" t="n">
        <v>5</v>
      </c>
      <c r="D7" s="7" t="n">
        <v>4</v>
      </c>
      <c r="E7" s="7" t="n">
        <v>4</v>
      </c>
      <c r="F7" s="7" t="n">
        <v>4</v>
      </c>
      <c r="G7" s="7">
        <f>IF(COUNTA(B7:F7)=0,"",AVERAGE(B7:F7))</f>
        <v/>
      </c>
      <c r="H7" s="7">
        <f>IF(COUNTA(B7:F7)=0,"",INDEX($B$2:$F$2,MATCH(MIN(B7:F7),B7:F7,0)))</f>
        <v/>
      </c>
      <c r="J7" s="4" t="inlineStr">
        <is>
          <t>ADKAR ELEMENTS</t>
        </is>
      </c>
    </row>
    <row r="8">
      <c r="A8" s="9" t="inlineStr">
        <is>
          <t>Operations - Team A</t>
        </is>
      </c>
      <c r="B8" s="7" t="n">
        <v>3</v>
      </c>
      <c r="C8" s="7" t="n">
        <v>2</v>
      </c>
      <c r="D8" s="7" t="n">
        <v>2</v>
      </c>
      <c r="E8" s="7" t="n">
        <v>1</v>
      </c>
      <c r="F8" s="7" t="n">
        <v>1</v>
      </c>
      <c r="G8" s="7">
        <f>IF(COUNTA(B8:F8)=0,"",AVERAGE(B8:F8))</f>
        <v/>
      </c>
      <c r="H8" s="7">
        <f>IF(COUNTA(B8:F8)=0,"",INDEX($B$2:$F$2,MATCH(MIN(B8:F8),B8:F8,0)))</f>
        <v/>
      </c>
      <c r="J8" s="6" t="inlineStr">
        <is>
          <t>A - Awareness of need</t>
        </is>
      </c>
    </row>
    <row r="9">
      <c r="A9" s="9" t="inlineStr">
        <is>
          <t>Operations - Team B</t>
        </is>
      </c>
      <c r="B9" s="7" t="n">
        <v>4</v>
      </c>
      <c r="C9" s="7" t="n">
        <v>3</v>
      </c>
      <c r="D9" s="7" t="n">
        <v>2</v>
      </c>
      <c r="E9" s="7" t="n">
        <v>2</v>
      </c>
      <c r="F9" s="7" t="n">
        <v>1</v>
      </c>
      <c r="G9" s="7">
        <f>IF(COUNTA(B9:F9)=0,"",AVERAGE(B9:F9))</f>
        <v/>
      </c>
      <c r="H9" s="7">
        <f>IF(COUNTA(B9:F9)=0,"",INDEX($B$2:$F$2,MATCH(MIN(B9:F9),B9:F9,0)))</f>
        <v/>
      </c>
      <c r="J9" s="6" t="inlineStr">
        <is>
          <t>D - Desire to participate</t>
        </is>
      </c>
    </row>
    <row r="10">
      <c r="A10" s="9" t="inlineStr">
        <is>
          <t>Finance Team</t>
        </is>
      </c>
      <c r="B10" s="7" t="n">
        <v>4</v>
      </c>
      <c r="C10" s="7" t="n">
        <v>3</v>
      </c>
      <c r="D10" s="7" t="n">
        <v>3</v>
      </c>
      <c r="E10" s="7" t="n">
        <v>2</v>
      </c>
      <c r="F10" s="7" t="n">
        <v>2</v>
      </c>
      <c r="G10" s="7">
        <f>IF(COUNTA(B10:F10)=0,"",AVERAGE(B10:F10))</f>
        <v/>
      </c>
      <c r="H10" s="7">
        <f>IF(COUNTA(B10:F10)=0,"",INDEX($B$2:$F$2,MATCH(MIN(B10:F10),B10:F10,0)))</f>
        <v/>
      </c>
      <c r="J10" s="6" t="inlineStr">
        <is>
          <t>K - Knowledge of how</t>
        </is>
      </c>
    </row>
    <row r="11">
      <c r="A11" s="9" t="inlineStr">
        <is>
          <t>Admin Staff</t>
        </is>
      </c>
      <c r="B11" s="7" t="n">
        <v>3</v>
      </c>
      <c r="C11" s="7" t="n">
        <v>2</v>
      </c>
      <c r="D11" s="7" t="n">
        <v>2</v>
      </c>
      <c r="E11" s="7" t="n">
        <v>1</v>
      </c>
      <c r="F11" s="7" t="n">
        <v>1</v>
      </c>
      <c r="G11" s="7">
        <f>IF(COUNTA(B11:F11)=0,"",AVERAGE(B11:F11))</f>
        <v/>
      </c>
      <c r="H11" s="7">
        <f>IF(COUNTA(B11:F11)=0,"",INDEX($B$2:$F$2,MATCH(MIN(B11:F11),B11:F11,0)))</f>
        <v/>
      </c>
      <c r="J11" s="6" t="inlineStr">
        <is>
          <t>A - Ability to implement</t>
        </is>
      </c>
    </row>
    <row r="12">
      <c r="A12" s="9" t="n"/>
      <c r="B12" s="9" t="n"/>
      <c r="C12" s="9" t="n"/>
      <c r="D12" s="9" t="n"/>
      <c r="E12" s="9" t="n"/>
      <c r="F12" s="9" t="n"/>
      <c r="G12" s="9">
        <f>IF(COUNTA(B12:F12)=0,"",AVERAGE(B12:F12))</f>
        <v/>
      </c>
      <c r="H12" s="9">
        <f>IF(COUNTA(B12:F12)=0,"",INDEX($B$2:$F$2,MATCH(MIN(B12:F12),B12:F12,0)))</f>
        <v/>
      </c>
      <c r="J12" s="6" t="inlineStr">
        <is>
          <t>R - Reinforcement to sustain</t>
        </is>
      </c>
    </row>
    <row r="13">
      <c r="A13" s="9" t="n"/>
      <c r="B13" s="9" t="n"/>
      <c r="C13" s="9" t="n"/>
      <c r="D13" s="9" t="n"/>
      <c r="E13" s="9" t="n"/>
      <c r="F13" s="9" t="n"/>
      <c r="G13" s="9">
        <f>IF(COUNTA(B13:F13)=0,"",AVERAGE(B13:F13))</f>
        <v/>
      </c>
      <c r="H13" s="9">
        <f>IF(COUNTA(B13:F13)=0,"",INDEX($B$2:$F$2,MATCH(MIN(B13:F13),B13:F13,0)))</f>
        <v/>
      </c>
    </row>
    <row r="14">
      <c r="A14" s="9" t="n"/>
      <c r="B14" s="9" t="n"/>
      <c r="C14" s="9" t="n"/>
      <c r="D14" s="9" t="n"/>
      <c r="E14" s="9" t="n"/>
      <c r="F14" s="9" t="n"/>
      <c r="G14" s="9">
        <f>IF(COUNTA(B14:F14)=0,"",AVERAGE(B14:F14))</f>
        <v/>
      </c>
      <c r="H14" s="9">
        <f>IF(COUNTA(B14:F14)=0,"",INDEX($B$2:$F$2,MATCH(MIN(B14:F14),B14:F14,0)))</f>
        <v/>
      </c>
      <c r="J14" s="4" t="inlineStr">
        <is>
          <t>SCORING SCALE</t>
        </is>
      </c>
    </row>
    <row r="15">
      <c r="A15" s="9" t="n"/>
      <c r="B15" s="9" t="n"/>
      <c r="C15" s="9" t="n"/>
      <c r="D15" s="9" t="n"/>
      <c r="E15" s="9" t="n"/>
      <c r="F15" s="9" t="n"/>
      <c r="G15" s="9">
        <f>IF(COUNTA(B15:F15)=0,"",AVERAGE(B15:F15))</f>
        <v/>
      </c>
      <c r="H15" s="9">
        <f>IF(COUNTA(B15:F15)=0,"",INDEX($B$2:$F$2,MATCH(MIN(B15:F15),B15:F15,0)))</f>
        <v/>
      </c>
      <c r="J15" s="6" t="inlineStr">
        <is>
          <t>1 = No evidence</t>
        </is>
      </c>
    </row>
    <row r="16">
      <c r="A16" s="9" t="n"/>
      <c r="B16" s="9" t="n"/>
      <c r="C16" s="9" t="n"/>
      <c r="D16" s="9" t="n"/>
      <c r="E16" s="9" t="n"/>
      <c r="F16" s="9" t="n"/>
      <c r="G16" s="9">
        <f>IF(COUNTA(B16:F16)=0,"",AVERAGE(B16:F16))</f>
        <v/>
      </c>
      <c r="H16" s="9">
        <f>IF(COUNTA(B16:F16)=0,"",INDEX($B$2:$F$2,MATCH(MIN(B16:F16),B16:F16,0)))</f>
        <v/>
      </c>
      <c r="J16" s="6" t="inlineStr">
        <is>
          <t>2 = Limited evidence</t>
        </is>
      </c>
    </row>
    <row r="17">
      <c r="A17" s="9" t="n"/>
      <c r="B17" s="9" t="n"/>
      <c r="C17" s="9" t="n"/>
      <c r="D17" s="9" t="n"/>
      <c r="E17" s="9" t="n"/>
      <c r="F17" s="9" t="n"/>
      <c r="G17" s="9">
        <f>IF(COUNTA(B17:F17)=0,"",AVERAGE(B17:F17))</f>
        <v/>
      </c>
      <c r="H17" s="9">
        <f>IF(COUNTA(B17:F17)=0,"",INDEX($B$2:$F$2,MATCH(MIN(B17:F17),B17:F17,0)))</f>
        <v/>
      </c>
      <c r="J17" s="6" t="inlineStr">
        <is>
          <t>3 = Some evidence</t>
        </is>
      </c>
    </row>
    <row r="18">
      <c r="A18" s="9" t="n"/>
      <c r="B18" s="9" t="n"/>
      <c r="C18" s="9" t="n"/>
      <c r="D18" s="9" t="n"/>
      <c r="E18" s="9" t="n"/>
      <c r="F18" s="9" t="n"/>
      <c r="G18" s="9">
        <f>IF(COUNTA(B18:F18)=0,"",AVERAGE(B18:F18))</f>
        <v/>
      </c>
      <c r="H18" s="9">
        <f>IF(COUNTA(B18:F18)=0,"",INDEX($B$2:$F$2,MATCH(MIN(B18:F18),B18:F18,0)))</f>
        <v/>
      </c>
      <c r="J18" s="6" t="inlineStr">
        <is>
          <t>4 = Strong evidence</t>
        </is>
      </c>
    </row>
    <row r="19">
      <c r="A19" s="9" t="n"/>
      <c r="B19" s="9" t="n"/>
      <c r="C19" s="9" t="n"/>
      <c r="D19" s="9" t="n"/>
      <c r="E19" s="9" t="n"/>
      <c r="F19" s="9" t="n"/>
      <c r="G19" s="9">
        <f>IF(COUNTA(B19:F19)=0,"",AVERAGE(B19:F19))</f>
        <v/>
      </c>
      <c r="H19" s="9">
        <f>IF(COUNTA(B19:F19)=0,"",INDEX($B$2:$F$2,MATCH(MIN(B19:F19),B19:F19,0)))</f>
        <v/>
      </c>
      <c r="J19" s="6" t="inlineStr">
        <is>
          <t>5 = Full demonstration</t>
        </is>
      </c>
    </row>
    <row r="20">
      <c r="A20" s="9" t="n"/>
      <c r="B20" s="9" t="n"/>
      <c r="C20" s="9" t="n"/>
      <c r="D20" s="9" t="n"/>
      <c r="E20" s="9" t="n"/>
      <c r="F20" s="9" t="n"/>
      <c r="G20" s="9">
        <f>IF(COUNTA(B20:F20)=0,"",AVERAGE(B20:F20))</f>
        <v/>
      </c>
      <c r="H20" s="9">
        <f>IF(COUNTA(B20:F20)=0,"",INDEX($B$2:$F$2,MATCH(MIN(B20:F20),B20:F20,0)))</f>
        <v/>
      </c>
    </row>
    <row r="21">
      <c r="A21" s="9" t="n"/>
      <c r="B21" s="9" t="n"/>
      <c r="C21" s="9" t="n"/>
      <c r="D21" s="9" t="n"/>
      <c r="E21" s="9" t="n"/>
      <c r="F21" s="9" t="n"/>
      <c r="G21" s="9">
        <f>IF(COUNTA(B21:F21)=0,"",AVERAGE(B21:F21))</f>
        <v/>
      </c>
      <c r="H21" s="9">
        <f>IF(COUNTA(B21:F21)=0,"",INDEX($B$2:$F$2,MATCH(MIN(B21:F21),B21:F21,0)))</f>
        <v/>
      </c>
      <c r="J21" s="4" t="inlineStr">
        <is>
          <t>BARRIER POINT</t>
        </is>
      </c>
    </row>
    <row r="22">
      <c r="A22" s="9" t="n"/>
      <c r="B22" s="9" t="n"/>
      <c r="C22" s="9" t="n"/>
      <c r="D22" s="9" t="n"/>
      <c r="E22" s="9" t="n"/>
      <c r="F22" s="9" t="n"/>
      <c r="G22" s="9">
        <f>IF(COUNTA(B22:F22)=0,"",AVERAGE(B22:F22))</f>
        <v/>
      </c>
      <c r="H22" s="9">
        <f>IF(COUNTA(B22:F22)=0,"",INDEX($B$2:$F$2,MATCH(MIN(B22:F22),B22:F22,0)))</f>
        <v/>
      </c>
      <c r="J22" s="6" t="inlineStr">
        <is>
          <t>Auto-identifies the lowest</t>
        </is>
      </c>
    </row>
    <row r="23">
      <c r="A23" s="9" t="n"/>
      <c r="B23" s="9" t="n"/>
      <c r="C23" s="9" t="n"/>
      <c r="D23" s="9" t="n"/>
      <c r="E23" s="9" t="n"/>
      <c r="F23" s="9" t="n"/>
      <c r="G23" s="9">
        <f>IF(COUNTA(B23:F23)=0,"",AVERAGE(B23:F23))</f>
        <v/>
      </c>
      <c r="H23" s="9">
        <f>IF(COUNTA(B23:F23)=0,"",INDEX($B$2:$F$2,MATCH(MIN(B23:F23),B23:F23,0)))</f>
        <v/>
      </c>
      <c r="J23" s="6" t="inlineStr">
        <is>
          <t>scoring element - focus</t>
        </is>
      </c>
    </row>
    <row r="24">
      <c r="A24" s="9" t="n"/>
      <c r="B24" s="9" t="n"/>
      <c r="C24" s="9" t="n"/>
      <c r="D24" s="9" t="n"/>
      <c r="E24" s="9" t="n"/>
      <c r="F24" s="9" t="n"/>
      <c r="G24" s="9">
        <f>IF(COUNTA(B24:F24)=0,"",AVERAGE(B24:F24))</f>
        <v/>
      </c>
      <c r="H24" s="9">
        <f>IF(COUNTA(B24:F24)=0,"",INDEX($B$2:$F$2,MATCH(MIN(B24:F24),B24:F24,0)))</f>
        <v/>
      </c>
      <c r="J24" s="6" t="inlineStr">
        <is>
          <t>interventions here first.</t>
        </is>
      </c>
    </row>
    <row r="25">
      <c r="A25" s="9" t="n"/>
      <c r="B25" s="9" t="n"/>
      <c r="C25" s="9" t="n"/>
      <c r="D25" s="9" t="n"/>
      <c r="E25" s="9" t="n"/>
      <c r="F25" s="9" t="n"/>
      <c r="G25" s="9">
        <f>IF(COUNTA(B25:F25)=0,"",AVERAGE(B25:F25))</f>
        <v/>
      </c>
      <c r="H25" s="9">
        <f>IF(COUNTA(B25:F25)=0,"",INDEX($B$2:$F$2,MATCH(MIN(B25:F25),B25:F25,0)))</f>
        <v/>
      </c>
    </row>
    <row r="26">
      <c r="A26" s="9" t="n"/>
      <c r="B26" s="9" t="n"/>
      <c r="C26" s="9" t="n"/>
      <c r="D26" s="9" t="n"/>
      <c r="E26" s="9" t="n"/>
      <c r="F26" s="9" t="n"/>
      <c r="G26" s="9">
        <f>IF(COUNTA(B26:F26)=0,"",AVERAGE(B26:F26))</f>
        <v/>
      </c>
      <c r="H26" s="9">
        <f>IF(COUNTA(B26:F26)=0,"",INDEX($B$2:$F$2,MATCH(MIN(B26:F26),B26:F26,0)))</f>
        <v/>
      </c>
      <c r="J26" s="4" t="inlineStr">
        <is>
          <t>TIP</t>
        </is>
      </c>
    </row>
    <row r="27">
      <c r="A27" s="9" t="n"/>
      <c r="B27" s="9" t="n"/>
      <c r="C27" s="9" t="n"/>
      <c r="D27" s="9" t="n"/>
      <c r="E27" s="9" t="n"/>
      <c r="F27" s="9" t="n"/>
      <c r="G27" s="9">
        <f>IF(COUNTA(B27:F27)=0,"",AVERAGE(B27:F27))</f>
        <v/>
      </c>
      <c r="H27" s="9">
        <f>IF(COUNTA(B27:F27)=0,"",INDEX($B$2:$F$2,MATCH(MIN(B27:F27),B27:F27,0)))</f>
        <v/>
      </c>
      <c r="J27" s="6" t="inlineStr">
        <is>
          <t>Address elements sequentially.</t>
        </is>
      </c>
    </row>
    <row r="28">
      <c r="J28" s="6" t="inlineStr">
        <is>
          <t>Cannot build Desire without</t>
        </is>
      </c>
    </row>
    <row r="29">
      <c r="J29" s="6" t="inlineStr">
        <is>
          <t>first establishing Awareness.</t>
        </is>
      </c>
    </row>
  </sheetData>
  <mergeCells count="1">
    <mergeCell ref="J1:K1"/>
  </mergeCells>
  <dataValidations count="1">
    <dataValidation sqref="B3:F27" showDropDown="0" showInputMessage="0" showErrorMessage="0" allowBlank="1" error="Enter a score between 1 and 5" type="whole" operator="between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53"/>
  <sheetViews>
    <sheetView workbookViewId="0">
      <pane xSplit="16" topLeftCell="Q1" activePane="topRight" state="frozen"/>
      <selection pane="topRight" activeCell="A1" sqref="A1"/>
    </sheetView>
  </sheetViews>
  <sheetFormatPr baseColWidth="8" defaultRowHeight="15"/>
  <cols>
    <col width="18" customWidth="1" min="1" max="1"/>
    <col width="22" customWidth="1" min="2" max="2"/>
    <col width="12" customWidth="1" min="3" max="3"/>
    <col width="7" customWidth="1" min="4" max="4"/>
    <col width="7" customWidth="1" min="5" max="5"/>
    <col width="10" customWidth="1" min="6" max="6"/>
    <col width="10" customWidth="1" min="7" max="7"/>
    <col width="10" customWidth="1" min="8" max="8"/>
    <col width="12" customWidth="1" min="9" max="9"/>
    <col width="30" customWidth="1" min="10" max="10"/>
    <col width="14" customWidth="1" min="11" max="11"/>
    <col width="9" customWidth="1" min="12" max="12"/>
    <col width="11" customWidth="1" min="13" max="13"/>
    <col width="10" customWidth="1" min="14" max="14"/>
    <col width="11" customWidth="1" min="15" max="15"/>
    <col width="22" customWidth="1" min="17" max="17"/>
    <col width="8" customWidth="1" min="18" max="18"/>
    <col width="8" customWidth="1" min="19" max="19"/>
    <col width="30" customWidth="1" min="20" max="20"/>
    <col width="9" customWidth="1" min="21" max="21"/>
    <col width="10" customWidth="1" min="22" max="22"/>
    <col width="30" customWidth="1" min="23" max="23"/>
    <col width="8" customWidth="1" min="24" max="24"/>
  </cols>
  <sheetData>
    <row r="1">
      <c r="Q1" s="11" t="inlineStr">
        <is>
          <t>ROLE TEMPLATES</t>
        </is>
      </c>
      <c r="V1" s="12" t="inlineStr">
        <is>
          <t>Cascade Factor:</t>
        </is>
      </c>
      <c r="W1" s="11" t="inlineStr">
        <is>
          <t>STATE SCALE</t>
        </is>
      </c>
      <c r="Z1" s="13" t="inlineStr">
        <is>
          <t>INSTRUCTIONS</t>
        </is>
      </c>
    </row>
    <row r="2">
      <c r="Q2" s="5" t="inlineStr">
        <is>
          <t>Role</t>
        </is>
      </c>
      <c r="R2" s="5" t="inlineStr">
        <is>
          <t>Power</t>
        </is>
      </c>
      <c r="S2" s="5" t="inlineStr">
        <is>
          <t>Interest</t>
        </is>
      </c>
      <c r="T2" s="5" t="inlineStr">
        <is>
          <t>Key Messages</t>
        </is>
      </c>
      <c r="U2" s="5" t="inlineStr">
        <is>
          <t>Hierarchy</t>
        </is>
      </c>
      <c r="V2" t="inlineStr">
        <is>
          <t>(Global)</t>
        </is>
      </c>
      <c r="W2" s="5" t="inlineStr">
        <is>
          <t>State</t>
        </is>
      </c>
      <c r="X2" s="5" t="inlineStr">
        <is>
          <t>Value</t>
        </is>
      </c>
    </row>
    <row r="3">
      <c r="A3" s="5" t="inlineStr">
        <is>
          <t>Name</t>
        </is>
      </c>
      <c r="B3" s="5" t="inlineStr">
        <is>
          <t>Role Template</t>
        </is>
      </c>
      <c r="C3" s="5" t="inlineStr">
        <is>
          <t>Department</t>
        </is>
      </c>
      <c r="D3" s="5" t="inlineStr">
        <is>
          <t>Power</t>
        </is>
      </c>
      <c r="E3" s="5" t="inlineStr">
        <is>
          <t>Interest</t>
        </is>
      </c>
      <c r="F3" s="5" t="inlineStr">
        <is>
          <t>Current State</t>
        </is>
      </c>
      <c r="G3" s="5" t="inlineStr">
        <is>
          <t>Desired State</t>
        </is>
      </c>
      <c r="H3" s="5" t="inlineStr">
        <is>
          <t>Headcount</t>
        </is>
      </c>
      <c r="I3" s="5" t="inlineStr">
        <is>
          <t>Time to Commit (wks)</t>
        </is>
      </c>
      <c r="J3" s="5" t="inlineStr">
        <is>
          <t>Key Messages</t>
        </is>
      </c>
      <c r="K3" s="5" t="inlineStr">
        <is>
          <t>Strategy</t>
        </is>
      </c>
      <c r="L3" s="5" t="inlineStr">
        <is>
          <t>Base Risk</t>
        </is>
      </c>
      <c r="M3" s="5" t="inlineStr">
        <is>
          <t>Cascade Factor</t>
        </is>
      </c>
      <c r="N3" s="5" t="inlineStr">
        <is>
          <t>Depth Penalty</t>
        </is>
      </c>
      <c r="O3" s="5" t="inlineStr">
        <is>
          <t>Adjusted Risk</t>
        </is>
      </c>
      <c r="Q3" s="9" t="inlineStr">
        <is>
          <t>Executive Sponsor</t>
        </is>
      </c>
      <c r="R3" s="9" t="inlineStr">
        <is>
          <t>High</t>
        </is>
      </c>
      <c r="S3" s="9" t="inlineStr">
        <is>
          <t>High</t>
        </is>
      </c>
      <c r="T3" s="9" t="inlineStr">
        <is>
          <t>Strategic alignment, ROI, timeline, organizational impact</t>
        </is>
      </c>
      <c r="U3" s="9" t="n">
        <v>1</v>
      </c>
      <c r="V3">
        <f>1-((IF(AND(B4="Executive Sponsor",OR(F4="Committed",F4="Advocating")),0.3,0))+(IF(AND(B5="Senior Leadership",OR(F5="Committed",F5="Advocating")),0.2,0)))</f>
        <v/>
      </c>
      <c r="W3" s="9" t="inlineStr">
        <is>
          <t>Unaware</t>
        </is>
      </c>
      <c r="X3" s="7" t="n">
        <v>1</v>
      </c>
      <c r="Z3" s="4" t="inlineStr">
        <is>
          <t>PURPOSE</t>
        </is>
      </c>
    </row>
    <row r="4">
      <c r="A4" s="9" t="inlineStr">
        <is>
          <t>Sarah Chen</t>
        </is>
      </c>
      <c r="B4" s="9" t="inlineStr">
        <is>
          <t>Executive Sponsor</t>
        </is>
      </c>
      <c r="C4" s="9" t="inlineStr">
        <is>
          <t>Executive</t>
        </is>
      </c>
      <c r="D4" s="7">
        <f>IF(B4="","",VLOOKUP(B4,$Q$3:$U$14,2,FALSE))</f>
        <v/>
      </c>
      <c r="E4" s="7">
        <f>IF(B4="","",VLOOKUP(B4,$Q$3:$U$14,3,FALSE))</f>
        <v/>
      </c>
      <c r="F4" s="7" t="inlineStr">
        <is>
          <t>Committed</t>
        </is>
      </c>
      <c r="G4" s="7" t="inlineStr">
        <is>
          <t>Advocating</t>
        </is>
      </c>
      <c r="H4" s="7" t="n">
        <v>1</v>
      </c>
      <c r="I4" s="7" t="n">
        <v>1</v>
      </c>
      <c r="J4" s="7">
        <f>IF(B4="","",VLOOKUP(B4,$Q$3:$U$14,4,FALSE))</f>
        <v/>
      </c>
      <c r="K4" s="7">
        <f>IF(OR(D4="",E4=""),"",IF(AND(D4="High",E4="High"),"Manage Closely",IF(AND(D4="High",E4="Medium"),"Keep Satisfied",IF(AND(D4="High",E4="Low"),"Keep Satisfied",IF(AND(D4="Medium",E4="High"),"Keep Informed",IF(AND(D4="Medium",E4="Medium"),"Keep Informed",IF(AND(D4="Medium",E4="Low"),"Monitor",IF(AND(D4="Low",E4="High"),"Keep Informed",IF(AND(D4="Low",E4="Medium"),"Monitor","Monitor")))))))))</f>
        <v/>
      </c>
      <c r="L4" s="7">
        <f>IF(OR(F4="",G4=""),"",(VLOOKUP(G4,$W$3:$X$8,2,FALSE)-VLOOKUP(F4,$W$3:$X$8,2,FALSE))*IF(D4="High",3,IF(D4="Medium",2,1))*6.67)</f>
        <v/>
      </c>
      <c r="M4" s="7">
        <f>IF(B4="","",IF(VLOOKUP(B4,$Q$3:$U$14,5,FALSE)&lt;=2,1,1-((IF(AND($B$4="Executive Sponsor",OR($F$4="Committed",$F$4="Advocating")),0.3,0))+(IF(AND($B$5="Senior Leadership",OR($F$5="Committed",$F$5="Advocating")),0.2,0)))))</f>
        <v/>
      </c>
      <c r="N4" s="7">
        <f>IF(B4="","",((IF(VLOOKUP(B4,$Q$3:$U$14,5,FALSE)&lt;=2,1,IF(VLOOKUP(B4,$Q$3:$U$14,5,FALSE)=3,1.1,IF(VLOOKUP(B4,$Q$3:$U$14,5,FALSE)=4,1.2,1.3))))*(1+IF(H4="",0,IF(H4&gt;1000,0.3,IF(H4&gt;500,0.2,IF(H4&gt;100,0.1,0)))))))</f>
        <v/>
      </c>
      <c r="O4" s="7">
        <f>IF(OR(L4="",M4="",N4=""),"",MIN(100,MAX(0,ROUND(L4*M4*N4,0))))</f>
        <v/>
      </c>
      <c r="Q4" s="9" t="inlineStr">
        <is>
          <t>Senior Leadership</t>
        </is>
      </c>
      <c r="R4" s="9" t="inlineStr">
        <is>
          <t>High</t>
        </is>
      </c>
      <c r="S4" s="9" t="inlineStr">
        <is>
          <t>Medium</t>
        </is>
      </c>
      <c r="T4" s="9" t="inlineStr">
        <is>
          <t>Business case, resource needs, risks, department goals</t>
        </is>
      </c>
      <c r="U4" s="9" t="n">
        <v>2</v>
      </c>
      <c r="W4" s="9" t="inlineStr">
        <is>
          <t>Aware</t>
        </is>
      </c>
      <c r="X4" s="7" t="n">
        <v>2</v>
      </c>
      <c r="Z4" s="14" t="inlineStr">
        <is>
          <t>Analyze stakeholders with</t>
        </is>
      </c>
    </row>
    <row r="5">
      <c r="A5" s="9" t="inlineStr">
        <is>
          <t>Michael Torres</t>
        </is>
      </c>
      <c r="B5" s="9" t="inlineStr">
        <is>
          <t>Senior Leadership</t>
        </is>
      </c>
      <c r="C5" s="9" t="inlineStr">
        <is>
          <t>Operations</t>
        </is>
      </c>
      <c r="D5" s="7">
        <f>IF(B5="","",VLOOKUP(B5,$Q$3:$U$14,2,FALSE))</f>
        <v/>
      </c>
      <c r="E5" s="7">
        <f>IF(B5="","",VLOOKUP(B5,$Q$3:$U$14,3,FALSE))</f>
        <v/>
      </c>
      <c r="F5" s="7" t="inlineStr">
        <is>
          <t>Buy-in</t>
        </is>
      </c>
      <c r="G5" s="7" t="inlineStr">
        <is>
          <t>Committed</t>
        </is>
      </c>
      <c r="H5" s="7" t="n">
        <v>5</v>
      </c>
      <c r="I5" s="7" t="n">
        <v>2</v>
      </c>
      <c r="J5" s="7">
        <f>IF(B5="","",VLOOKUP(B5,$Q$3:$U$14,4,FALSE))</f>
        <v/>
      </c>
      <c r="K5" s="7">
        <f>IF(OR(D5="",E5=""),"",IF(AND(D5="High",E5="High"),"Manage Closely",IF(AND(D5="High",E5="Medium"),"Keep Satisfied",IF(AND(D5="High",E5="Low"),"Keep Satisfied",IF(AND(D5="Medium",E5="High"),"Keep Informed",IF(AND(D5="Medium",E5="Medium"),"Keep Informed",IF(AND(D5="Medium",E5="Low"),"Monitor",IF(AND(D5="Low",E5="High"),"Keep Informed",IF(AND(D5="Low",E5="Medium"),"Monitor","Monitor")))))))))</f>
        <v/>
      </c>
      <c r="L5" s="7">
        <f>IF(OR(F5="",G5=""),"",(VLOOKUP(G5,$W$3:$X$8,2,FALSE)-VLOOKUP(F5,$W$3:$X$8,2,FALSE))*IF(D5="High",3,IF(D5="Medium",2,1))*6.67)</f>
        <v/>
      </c>
      <c r="M5" s="7">
        <f>IF(B5="","",IF(VLOOKUP(B5,$Q$3:$U$14,5,FALSE)&lt;=2,1,1-((IF(AND($B$4="Executive Sponsor",OR($F$4="Committed",$F$4="Advocating")),0.3,0))+(IF(AND($B$5="Senior Leadership",OR($F$5="Committed",$F$5="Advocating")),0.2,0)))))</f>
        <v/>
      </c>
      <c r="N5" s="7">
        <f>IF(B5="","",((IF(VLOOKUP(B5,$Q$3:$U$14,5,FALSE)&lt;=2,1,IF(VLOOKUP(B5,$Q$3:$U$14,5,FALSE)=3,1.1,IF(VLOOKUP(B5,$Q$3:$U$14,5,FALSE)=4,1.2,1.3))))*(1+IF(H5="",0,IF(H5&gt;1000,0.3,IF(H5&gt;500,0.2,IF(H5&gt;100,0.1,0)))))))</f>
        <v/>
      </c>
      <c r="O5" s="7">
        <f>IF(OR(L5="",M5="",N5=""),"",MIN(100,MAX(0,ROUND(L5*M5*N5,0))))</f>
        <v/>
      </c>
      <c r="Q5" s="9" t="inlineStr">
        <is>
          <t>Middle Manager</t>
        </is>
      </c>
      <c r="R5" s="9" t="inlineStr">
        <is>
          <t>Medium</t>
        </is>
      </c>
      <c r="S5" s="9" t="inlineStr">
        <is>
          <t>High</t>
        </is>
      </c>
      <c r="T5" s="9" t="inlineStr">
        <is>
          <t>Team impacts, timeline, support needed, performance metrics</t>
        </is>
      </c>
      <c r="U5" s="9" t="n">
        <v>3</v>
      </c>
      <c r="W5" s="9" t="inlineStr">
        <is>
          <t>Understanding</t>
        </is>
      </c>
      <c r="X5" s="7" t="n">
        <v>3</v>
      </c>
      <c r="Z5" s="14" t="inlineStr">
        <is>
          <t>risk that cascades down</t>
        </is>
      </c>
    </row>
    <row r="6">
      <c r="A6" s="9" t="inlineStr">
        <is>
          <t>Jennifer Walsh</t>
        </is>
      </c>
      <c r="B6" s="9" t="inlineStr">
        <is>
          <t>Senior Leadership</t>
        </is>
      </c>
      <c r="C6" s="9" t="inlineStr">
        <is>
          <t>IT</t>
        </is>
      </c>
      <c r="D6" s="7">
        <f>IF(B6="","",VLOOKUP(B6,$Q$3:$U$14,2,FALSE))</f>
        <v/>
      </c>
      <c r="E6" s="7">
        <f>IF(B6="","",VLOOKUP(B6,$Q$3:$U$14,3,FALSE))</f>
        <v/>
      </c>
      <c r="F6" s="7" t="inlineStr">
        <is>
          <t>Committed</t>
        </is>
      </c>
      <c r="G6" s="7" t="inlineStr">
        <is>
          <t>Advocating</t>
        </is>
      </c>
      <c r="H6" s="7" t="n">
        <v>4</v>
      </c>
      <c r="I6" s="7" t="n">
        <v>2</v>
      </c>
      <c r="J6" s="7">
        <f>IF(B6="","",VLOOKUP(B6,$Q$3:$U$14,4,FALSE))</f>
        <v/>
      </c>
      <c r="K6" s="7">
        <f>IF(OR(D6="",E6=""),"",IF(AND(D6="High",E6="High"),"Manage Closely",IF(AND(D6="High",E6="Medium"),"Keep Satisfied",IF(AND(D6="High",E6="Low"),"Keep Satisfied",IF(AND(D6="Medium",E6="High"),"Keep Informed",IF(AND(D6="Medium",E6="Medium"),"Keep Informed",IF(AND(D6="Medium",E6="Low"),"Monitor",IF(AND(D6="Low",E6="High"),"Keep Informed",IF(AND(D6="Low",E6="Medium"),"Monitor","Monitor")))))))))</f>
        <v/>
      </c>
      <c r="L6" s="7">
        <f>IF(OR(F6="",G6=""),"",(VLOOKUP(G6,$W$3:$X$8,2,FALSE)-VLOOKUP(F6,$W$3:$X$8,2,FALSE))*IF(D6="High",3,IF(D6="Medium",2,1))*6.67)</f>
        <v/>
      </c>
      <c r="M6" s="7">
        <f>IF(B6="","",IF(VLOOKUP(B6,$Q$3:$U$14,5,FALSE)&lt;=2,1,1-((IF(AND($B$4="Executive Sponsor",OR($F$4="Committed",$F$4="Advocating")),0.3,0))+(IF(AND($B$5="Senior Leadership",OR($F$5="Committed",$F$5="Advocating")),0.2,0)))))</f>
        <v/>
      </c>
      <c r="N6" s="7">
        <f>IF(B6="","",((IF(VLOOKUP(B6,$Q$3:$U$14,5,FALSE)&lt;=2,1,IF(VLOOKUP(B6,$Q$3:$U$14,5,FALSE)=3,1.1,IF(VLOOKUP(B6,$Q$3:$U$14,5,FALSE)=4,1.2,1.3))))*(1+IF(H6="",0,IF(H6&gt;1000,0.3,IF(H6&gt;500,0.2,IF(H6&gt;100,0.1,0)))))))</f>
        <v/>
      </c>
      <c r="O6" s="7">
        <f>IF(OR(L6="",M6="",N6=""),"",MIN(100,MAX(0,ROUND(L6*M6*N6,0))))</f>
        <v/>
      </c>
      <c r="Q6" s="9" t="inlineStr">
        <is>
          <t>Front-line Supervisor</t>
        </is>
      </c>
      <c r="R6" s="9" t="inlineStr">
        <is>
          <t>Medium</t>
        </is>
      </c>
      <c r="S6" s="9" t="inlineStr">
        <is>
          <t>High</t>
        </is>
      </c>
      <c r="T6" s="9" t="inlineStr">
        <is>
          <t>Day-to-day impacts, team concerns, training needs</t>
        </is>
      </c>
      <c r="U6" s="9" t="n">
        <v>4</v>
      </c>
      <c r="W6" s="9" t="inlineStr">
        <is>
          <t>Buy-in</t>
        </is>
      </c>
      <c r="X6" s="7" t="n">
        <v>4</v>
      </c>
      <c r="Z6" s="14" t="inlineStr">
        <is>
          <t>the organizational hierarchy.</t>
        </is>
      </c>
    </row>
    <row r="7">
      <c r="A7" s="9" t="inlineStr">
        <is>
          <t>David Kim</t>
        </is>
      </c>
      <c r="B7" s="9" t="inlineStr">
        <is>
          <t>Middle Manager</t>
        </is>
      </c>
      <c r="C7" s="9" t="inlineStr">
        <is>
          <t>Operations</t>
        </is>
      </c>
      <c r="D7" s="7">
        <f>IF(B7="","",VLOOKUP(B7,$Q$3:$U$14,2,FALSE))</f>
        <v/>
      </c>
      <c r="E7" s="7">
        <f>IF(B7="","",VLOOKUP(B7,$Q$3:$U$14,3,FALSE))</f>
        <v/>
      </c>
      <c r="F7" s="7" t="inlineStr">
        <is>
          <t>Understanding</t>
        </is>
      </c>
      <c r="G7" s="7" t="inlineStr">
        <is>
          <t>Committed</t>
        </is>
      </c>
      <c r="H7" s="7" t="n">
        <v>12</v>
      </c>
      <c r="I7" s="7" t="n">
        <v>4</v>
      </c>
      <c r="J7" s="7">
        <f>IF(B7="","",VLOOKUP(B7,$Q$3:$U$14,4,FALSE))</f>
        <v/>
      </c>
      <c r="K7" s="7">
        <f>IF(OR(D7="",E7=""),"",IF(AND(D7="High",E7="High"),"Manage Closely",IF(AND(D7="High",E7="Medium"),"Keep Satisfied",IF(AND(D7="High",E7="Low"),"Keep Satisfied",IF(AND(D7="Medium",E7="High"),"Keep Informed",IF(AND(D7="Medium",E7="Medium"),"Keep Informed",IF(AND(D7="Medium",E7="Low"),"Monitor",IF(AND(D7="Low",E7="High"),"Keep Informed",IF(AND(D7="Low",E7="Medium"),"Monitor","Monitor")))))))))</f>
        <v/>
      </c>
      <c r="L7" s="7">
        <f>IF(OR(F7="",G7=""),"",(VLOOKUP(G7,$W$3:$X$8,2,FALSE)-VLOOKUP(F7,$W$3:$X$8,2,FALSE))*IF(D7="High",3,IF(D7="Medium",2,1))*6.67)</f>
        <v/>
      </c>
      <c r="M7" s="7">
        <f>IF(B7="","",IF(VLOOKUP(B7,$Q$3:$U$14,5,FALSE)&lt;=2,1,1-((IF(AND($B$4="Executive Sponsor",OR($F$4="Committed",$F$4="Advocating")),0.3,0))+(IF(AND($B$5="Senior Leadership",OR($F$5="Committed",$F$5="Advocating")),0.2,0)))))</f>
        <v/>
      </c>
      <c r="N7" s="7">
        <f>IF(B7="","",((IF(VLOOKUP(B7,$Q$3:$U$14,5,FALSE)&lt;=2,1,IF(VLOOKUP(B7,$Q$3:$U$14,5,FALSE)=3,1.1,IF(VLOOKUP(B7,$Q$3:$U$14,5,FALSE)=4,1.2,1.3))))*(1+IF(H7="",0,IF(H7&gt;1000,0.3,IF(H7&gt;500,0.2,IF(H7&gt;100,0.1,0)))))))</f>
        <v/>
      </c>
      <c r="O7" s="7">
        <f>IF(OR(L7="",M7="",N7=""),"",MIN(100,MAX(0,ROUND(L7*M7*N7,0))))</f>
        <v/>
      </c>
      <c r="Q7" s="9" t="inlineStr">
        <is>
          <t>End User (Heavy Impact)</t>
        </is>
      </c>
      <c r="R7" s="9" t="inlineStr">
        <is>
          <t>Low</t>
        </is>
      </c>
      <c r="S7" s="9" t="inlineStr">
        <is>
          <t>High</t>
        </is>
      </c>
      <c r="T7" s="9" t="inlineStr">
        <is>
          <t>What changes, when, training, support available</t>
        </is>
      </c>
      <c r="U7" s="9" t="n">
        <v>5</v>
      </c>
      <c r="W7" s="9" t="inlineStr">
        <is>
          <t>Committed</t>
        </is>
      </c>
      <c r="X7" s="7" t="n">
        <v>5</v>
      </c>
    </row>
    <row r="8">
      <c r="A8" s="9" t="inlineStr">
        <is>
          <t>Lisa Johnson</t>
        </is>
      </c>
      <c r="B8" s="9" t="inlineStr">
        <is>
          <t>Middle Manager</t>
        </is>
      </c>
      <c r="C8" s="9" t="inlineStr">
        <is>
          <t>Finance</t>
        </is>
      </c>
      <c r="D8" s="7">
        <f>IF(B8="","",VLOOKUP(B8,$Q$3:$U$14,2,FALSE))</f>
        <v/>
      </c>
      <c r="E8" s="7">
        <f>IF(B8="","",VLOOKUP(B8,$Q$3:$U$14,3,FALSE))</f>
        <v/>
      </c>
      <c r="F8" s="7" t="inlineStr">
        <is>
          <t>Aware</t>
        </is>
      </c>
      <c r="G8" s="7" t="inlineStr">
        <is>
          <t>Buy-in</t>
        </is>
      </c>
      <c r="H8" s="7" t="n">
        <v>8</v>
      </c>
      <c r="I8" s="7" t="n">
        <v>5</v>
      </c>
      <c r="J8" s="7">
        <f>IF(B8="","",VLOOKUP(B8,$Q$3:$U$14,4,FALSE))</f>
        <v/>
      </c>
      <c r="K8" s="7">
        <f>IF(OR(D8="",E8=""),"",IF(AND(D8="High",E8="High"),"Manage Closely",IF(AND(D8="High",E8="Medium"),"Keep Satisfied",IF(AND(D8="High",E8="Low"),"Keep Satisfied",IF(AND(D8="Medium",E8="High"),"Keep Informed",IF(AND(D8="Medium",E8="Medium"),"Keep Informed",IF(AND(D8="Medium",E8="Low"),"Monitor",IF(AND(D8="Low",E8="High"),"Keep Informed",IF(AND(D8="Low",E8="Medium"),"Monitor","Monitor")))))))))</f>
        <v/>
      </c>
      <c r="L8" s="7">
        <f>IF(OR(F8="",G8=""),"",(VLOOKUP(G8,$W$3:$X$8,2,FALSE)-VLOOKUP(F8,$W$3:$X$8,2,FALSE))*IF(D8="High",3,IF(D8="Medium",2,1))*6.67)</f>
        <v/>
      </c>
      <c r="M8" s="7">
        <f>IF(B8="","",IF(VLOOKUP(B8,$Q$3:$U$14,5,FALSE)&lt;=2,1,1-((IF(AND($B$4="Executive Sponsor",OR($F$4="Committed",$F$4="Advocating")),0.3,0))+(IF(AND($B$5="Senior Leadership",OR($F$5="Committed",$F$5="Advocating")),0.2,0)))))</f>
        <v/>
      </c>
      <c r="N8" s="7">
        <f>IF(B8="","",((IF(VLOOKUP(B8,$Q$3:$U$14,5,FALSE)&lt;=2,1,IF(VLOOKUP(B8,$Q$3:$U$14,5,FALSE)=3,1.1,IF(VLOOKUP(B8,$Q$3:$U$14,5,FALSE)=4,1.2,1.3))))*(1+IF(H8="",0,IF(H8&gt;1000,0.3,IF(H8&gt;500,0.2,IF(H8&gt;100,0.1,0)))))))</f>
        <v/>
      </c>
      <c r="O8" s="7">
        <f>IF(OR(L8="",M8="",N8=""),"",MIN(100,MAX(0,ROUND(L8*M8*N8,0))))</f>
        <v/>
      </c>
      <c r="Q8" s="9" t="inlineStr">
        <is>
          <t>End User (Light Impact)</t>
        </is>
      </c>
      <c r="R8" s="9" t="inlineStr">
        <is>
          <t>Low</t>
        </is>
      </c>
      <c r="S8" s="9" t="inlineStr">
        <is>
          <t>Medium</t>
        </is>
      </c>
      <c r="T8" s="9" t="inlineStr">
        <is>
          <t>High-level overview, minimal disruption expected</t>
        </is>
      </c>
      <c r="U8" s="9" t="n">
        <v>5</v>
      </c>
      <c r="W8" s="9" t="inlineStr">
        <is>
          <t>Advocating</t>
        </is>
      </c>
      <c r="X8" s="7" t="n">
        <v>6</v>
      </c>
      <c r="Z8" s="4" t="inlineStr">
        <is>
          <t>NEW COLUMNS</t>
        </is>
      </c>
    </row>
    <row r="9">
      <c r="A9" s="9" t="inlineStr">
        <is>
          <t>Robert Martinez</t>
        </is>
      </c>
      <c r="B9" s="9" t="inlineStr">
        <is>
          <t>Middle Manager</t>
        </is>
      </c>
      <c r="C9" s="9" t="inlineStr">
        <is>
          <t>HR</t>
        </is>
      </c>
      <c r="D9" s="7">
        <f>IF(B9="","",VLOOKUP(B9,$Q$3:$U$14,2,FALSE))</f>
        <v/>
      </c>
      <c r="E9" s="7">
        <f>IF(B9="","",VLOOKUP(B9,$Q$3:$U$14,3,FALSE))</f>
        <v/>
      </c>
      <c r="F9" s="7" t="inlineStr">
        <is>
          <t>Buy-in</t>
        </is>
      </c>
      <c r="G9" s="7" t="inlineStr">
        <is>
          <t>Committed</t>
        </is>
      </c>
      <c r="H9" s="7" t="n">
        <v>6</v>
      </c>
      <c r="I9" s="7" t="n">
        <v>3</v>
      </c>
      <c r="J9" s="7">
        <f>IF(B9="","",VLOOKUP(B9,$Q$3:$U$14,4,FALSE))</f>
        <v/>
      </c>
      <c r="K9" s="7">
        <f>IF(OR(D9="",E9=""),"",IF(AND(D9="High",E9="High"),"Manage Closely",IF(AND(D9="High",E9="Medium"),"Keep Satisfied",IF(AND(D9="High",E9="Low"),"Keep Satisfied",IF(AND(D9="Medium",E9="High"),"Keep Informed",IF(AND(D9="Medium",E9="Medium"),"Keep Informed",IF(AND(D9="Medium",E9="Low"),"Monitor",IF(AND(D9="Low",E9="High"),"Keep Informed",IF(AND(D9="Low",E9="Medium"),"Monitor","Monitor")))))))))</f>
        <v/>
      </c>
      <c r="L9" s="7">
        <f>IF(OR(F9="",G9=""),"",(VLOOKUP(G9,$W$3:$X$8,2,FALSE)-VLOOKUP(F9,$W$3:$X$8,2,FALSE))*IF(D9="High",3,IF(D9="Medium",2,1))*6.67)</f>
        <v/>
      </c>
      <c r="M9" s="7">
        <f>IF(B9="","",IF(VLOOKUP(B9,$Q$3:$U$14,5,FALSE)&lt;=2,1,1-((IF(AND($B$4="Executive Sponsor",OR($F$4="Committed",$F$4="Advocating")),0.3,0))+(IF(AND($B$5="Senior Leadership",OR($F$5="Committed",$F$5="Advocating")),0.2,0)))))</f>
        <v/>
      </c>
      <c r="N9" s="7">
        <f>IF(B9="","",((IF(VLOOKUP(B9,$Q$3:$U$14,5,FALSE)&lt;=2,1,IF(VLOOKUP(B9,$Q$3:$U$14,5,FALSE)=3,1.1,IF(VLOOKUP(B9,$Q$3:$U$14,5,FALSE)=4,1.2,1.3))))*(1+IF(H9="",0,IF(H9&gt;1000,0.3,IF(H9&gt;500,0.2,IF(H9&gt;100,0.1,0)))))))</f>
        <v/>
      </c>
      <c r="O9" s="7">
        <f>IF(OR(L9="",M9="",N9=""),"",MIN(100,MAX(0,ROUND(L9*M9*N9,0))))</f>
        <v/>
      </c>
      <c r="Q9" s="9" t="inlineStr">
        <is>
          <t>IT Support Staff</t>
        </is>
      </c>
      <c r="R9" s="9" t="inlineStr">
        <is>
          <t>Medium</t>
        </is>
      </c>
      <c r="S9" s="9" t="inlineStr">
        <is>
          <t>High</t>
        </is>
      </c>
      <c r="T9" s="9" t="inlineStr">
        <is>
          <t>Technical details, support requirements, timeline</t>
        </is>
      </c>
      <c r="U9" s="9" t="n">
        <v>4</v>
      </c>
      <c r="Z9" s="14" t="inlineStr">
        <is>
          <t>Headcount: # of people in group</t>
        </is>
      </c>
    </row>
    <row r="10">
      <c r="A10" s="9" t="inlineStr">
        <is>
          <t>Amanda Foster</t>
        </is>
      </c>
      <c r="B10" s="9" t="inlineStr">
        <is>
          <t>Front-line Supervisor</t>
        </is>
      </c>
      <c r="C10" s="9" t="inlineStr">
        <is>
          <t>Operations</t>
        </is>
      </c>
      <c r="D10" s="7">
        <f>IF(B10="","",VLOOKUP(B10,$Q$3:$U$14,2,FALSE))</f>
        <v/>
      </c>
      <c r="E10" s="7">
        <f>IF(B10="","",VLOOKUP(B10,$Q$3:$U$14,3,FALSE))</f>
        <v/>
      </c>
      <c r="F10" s="7" t="inlineStr">
        <is>
          <t>Aware</t>
        </is>
      </c>
      <c r="G10" s="7" t="inlineStr">
        <is>
          <t>Buy-in</t>
        </is>
      </c>
      <c r="H10" s="7" t="n">
        <v>45</v>
      </c>
      <c r="I10" s="7" t="n">
        <v>6</v>
      </c>
      <c r="J10" s="7">
        <f>IF(B10="","",VLOOKUP(B10,$Q$3:$U$14,4,FALSE))</f>
        <v/>
      </c>
      <c r="K10" s="7">
        <f>IF(OR(D10="",E10=""),"",IF(AND(D10="High",E10="High"),"Manage Closely",IF(AND(D10="High",E10="Medium"),"Keep Satisfied",IF(AND(D10="High",E10="Low"),"Keep Satisfied",IF(AND(D10="Medium",E10="High"),"Keep Informed",IF(AND(D10="Medium",E10="Medium"),"Keep Informed",IF(AND(D10="Medium",E10="Low"),"Monitor",IF(AND(D10="Low",E10="High"),"Keep Informed",IF(AND(D10="Low",E10="Medium"),"Monitor","Monitor")))))))))</f>
        <v/>
      </c>
      <c r="L10" s="7">
        <f>IF(OR(F10="",G10=""),"",(VLOOKUP(G10,$W$3:$X$8,2,FALSE)-VLOOKUP(F10,$W$3:$X$8,2,FALSE))*IF(D10="High",3,IF(D10="Medium",2,1))*6.67)</f>
        <v/>
      </c>
      <c r="M10" s="7">
        <f>IF(B10="","",IF(VLOOKUP(B10,$Q$3:$U$14,5,FALSE)&lt;=2,1,1-((IF(AND($B$4="Executive Sponsor",OR($F$4="Committed",$F$4="Advocating")),0.3,0))+(IF(AND($B$5="Senior Leadership",OR($F$5="Committed",$F$5="Advocating")),0.2,0)))))</f>
        <v/>
      </c>
      <c r="N10" s="7">
        <f>IF(B10="","",((IF(VLOOKUP(B10,$Q$3:$U$14,5,FALSE)&lt;=2,1,IF(VLOOKUP(B10,$Q$3:$U$14,5,FALSE)=3,1.1,IF(VLOOKUP(B10,$Q$3:$U$14,5,FALSE)=4,1.2,1.3))))*(1+IF(H10="",0,IF(H10&gt;1000,0.3,IF(H10&gt;500,0.2,IF(H10&gt;100,0.1,0)))))))</f>
        <v/>
      </c>
      <c r="O10" s="7">
        <f>IF(OR(L10="",M10="",N10=""),"",MIN(100,MAX(0,ROUND(L10*M10*N10,0))))</f>
        <v/>
      </c>
      <c r="Q10" s="9" t="inlineStr">
        <is>
          <t>HR/Training Team</t>
        </is>
      </c>
      <c r="R10" s="9" t="inlineStr">
        <is>
          <t>Medium</t>
        </is>
      </c>
      <c r="S10" s="9" t="inlineStr">
        <is>
          <t>High</t>
        </is>
      </c>
      <c r="T10" s="9" t="inlineStr">
        <is>
          <t>Training needs, communication support, change impacts</t>
        </is>
      </c>
      <c r="U10" s="9" t="n">
        <v>4</v>
      </c>
      <c r="W10" s="11" t="inlineStr">
        <is>
          <t>DEPTH PENALTY</t>
        </is>
      </c>
      <c r="Z10" s="14" t="inlineStr">
        <is>
          <t>Time to Commit: est. weeks</t>
        </is>
      </c>
    </row>
    <row r="11">
      <c r="A11" s="9" t="inlineStr">
        <is>
          <t>James Wilson</t>
        </is>
      </c>
      <c r="B11" s="9" t="inlineStr">
        <is>
          <t>Front-line Supervisor</t>
        </is>
      </c>
      <c r="C11" s="9" t="inlineStr">
        <is>
          <t>Operations</t>
        </is>
      </c>
      <c r="D11" s="7">
        <f>IF(B11="","",VLOOKUP(B11,$Q$3:$U$14,2,FALSE))</f>
        <v/>
      </c>
      <c r="E11" s="7">
        <f>IF(B11="","",VLOOKUP(B11,$Q$3:$U$14,3,FALSE))</f>
        <v/>
      </c>
      <c r="F11" s="7" t="inlineStr">
        <is>
          <t>Understanding</t>
        </is>
      </c>
      <c r="G11" s="7" t="inlineStr">
        <is>
          <t>Committed</t>
        </is>
      </c>
      <c r="H11" s="7" t="n">
        <v>38</v>
      </c>
      <c r="I11" s="7" t="n">
        <v>5</v>
      </c>
      <c r="J11" s="7">
        <f>IF(B11="","",VLOOKUP(B11,$Q$3:$U$14,4,FALSE))</f>
        <v/>
      </c>
      <c r="K11" s="7">
        <f>IF(OR(D11="",E11=""),"",IF(AND(D11="High",E11="High"),"Manage Closely",IF(AND(D11="High",E11="Medium"),"Keep Satisfied",IF(AND(D11="High",E11="Low"),"Keep Satisfied",IF(AND(D11="Medium",E11="High"),"Keep Informed",IF(AND(D11="Medium",E11="Medium"),"Keep Informed",IF(AND(D11="Medium",E11="Low"),"Monitor",IF(AND(D11="Low",E11="High"),"Keep Informed",IF(AND(D11="Low",E11="Medium"),"Monitor","Monitor")))))))))</f>
        <v/>
      </c>
      <c r="L11" s="7">
        <f>IF(OR(F11="",G11=""),"",(VLOOKUP(G11,$W$3:$X$8,2,FALSE)-VLOOKUP(F11,$W$3:$X$8,2,FALSE))*IF(D11="High",3,IF(D11="Medium",2,1))*6.67)</f>
        <v/>
      </c>
      <c r="M11" s="7">
        <f>IF(B11="","",IF(VLOOKUP(B11,$Q$3:$U$14,5,FALSE)&lt;=2,1,1-((IF(AND($B$4="Executive Sponsor",OR($F$4="Committed",$F$4="Advocating")),0.3,0))+(IF(AND($B$5="Senior Leadership",OR($F$5="Committed",$F$5="Advocating")),0.2,0)))))</f>
        <v/>
      </c>
      <c r="N11" s="7">
        <f>IF(B11="","",((IF(VLOOKUP(B11,$Q$3:$U$14,5,FALSE)&lt;=2,1,IF(VLOOKUP(B11,$Q$3:$U$14,5,FALSE)=3,1.1,IF(VLOOKUP(B11,$Q$3:$U$14,5,FALSE)=4,1.2,1.3))))*(1+IF(H11="",0,IF(H11&gt;1000,0.3,IF(H11&gt;500,0.2,IF(H11&gt;100,0.1,0)))))))</f>
        <v/>
      </c>
      <c r="O11" s="7">
        <f>IF(OR(L11="",M11="",N11=""),"",MIN(100,MAX(0,ROUND(L11*M11*N11,0))))</f>
        <v/>
      </c>
      <c r="Q11" s="9" t="inlineStr">
        <is>
          <t>Finance/Procurement</t>
        </is>
      </c>
      <c r="R11" s="9" t="inlineStr">
        <is>
          <t>Medium</t>
        </is>
      </c>
      <c r="S11" s="9" t="inlineStr">
        <is>
          <t>Medium</t>
        </is>
      </c>
      <c r="T11" s="9" t="inlineStr">
        <is>
          <t>Budget, ROI, procurement timeline, cost controls</t>
        </is>
      </c>
      <c r="U11" s="9" t="n">
        <v>3</v>
      </c>
      <c r="W11" t="inlineStr">
        <is>
          <t>'The body falters' effect:</t>
        </is>
      </c>
      <c r="Z11" s="14" t="inlineStr">
        <is>
          <t>Depth Penalty: body falters factor</t>
        </is>
      </c>
    </row>
    <row r="12">
      <c r="A12" s="9" t="inlineStr">
        <is>
          <t>Emily Brown</t>
        </is>
      </c>
      <c r="B12" s="9" t="inlineStr">
        <is>
          <t>IT Support Staff</t>
        </is>
      </c>
      <c r="C12" s="9" t="inlineStr">
        <is>
          <t>IT</t>
        </is>
      </c>
      <c r="D12" s="7">
        <f>IF(B12="","",VLOOKUP(B12,$Q$3:$U$14,2,FALSE))</f>
        <v/>
      </c>
      <c r="E12" s="7">
        <f>IF(B12="","",VLOOKUP(B12,$Q$3:$U$14,3,FALSE))</f>
        <v/>
      </c>
      <c r="F12" s="7" t="inlineStr">
        <is>
          <t>Buy-in</t>
        </is>
      </c>
      <c r="G12" s="7" t="inlineStr">
        <is>
          <t>Committed</t>
        </is>
      </c>
      <c r="H12" s="7" t="n">
        <v>15</v>
      </c>
      <c r="I12" s="7" t="n">
        <v>3</v>
      </c>
      <c r="J12" s="7">
        <f>IF(B12="","",VLOOKUP(B12,$Q$3:$U$14,4,FALSE))</f>
        <v/>
      </c>
      <c r="K12" s="7">
        <f>IF(OR(D12="",E12=""),"",IF(AND(D12="High",E12="High"),"Manage Closely",IF(AND(D12="High",E12="Medium"),"Keep Satisfied",IF(AND(D12="High",E12="Low"),"Keep Satisfied",IF(AND(D12="Medium",E12="High"),"Keep Informed",IF(AND(D12="Medium",E12="Medium"),"Keep Informed",IF(AND(D12="Medium",E12="Low"),"Monitor",IF(AND(D12="Low",E12="High"),"Keep Informed",IF(AND(D12="Low",E12="Medium"),"Monitor","Monitor")))))))))</f>
        <v/>
      </c>
      <c r="L12" s="7">
        <f>IF(OR(F12="",G12=""),"",(VLOOKUP(G12,$W$3:$X$8,2,FALSE)-VLOOKUP(F12,$W$3:$X$8,2,FALSE))*IF(D12="High",3,IF(D12="Medium",2,1))*6.67)</f>
        <v/>
      </c>
      <c r="M12" s="7">
        <f>IF(B12="","",IF(VLOOKUP(B12,$Q$3:$U$14,5,FALSE)&lt;=2,1,1-((IF(AND($B$4="Executive Sponsor",OR($F$4="Committed",$F$4="Advocating")),0.3,0))+(IF(AND($B$5="Senior Leadership",OR($F$5="Committed",$F$5="Advocating")),0.2,0)))))</f>
        <v/>
      </c>
      <c r="N12" s="7">
        <f>IF(B12="","",((IF(VLOOKUP(B12,$Q$3:$U$14,5,FALSE)&lt;=2,1,IF(VLOOKUP(B12,$Q$3:$U$14,5,FALSE)=3,1.1,IF(VLOOKUP(B12,$Q$3:$U$14,5,FALSE)=4,1.2,1.3))))*(1+IF(H12="",0,IF(H12&gt;1000,0.3,IF(H12&gt;500,0.2,IF(H12&gt;100,0.1,0)))))))</f>
        <v/>
      </c>
      <c r="O12" s="7">
        <f>IF(OR(L12="",M12="",N12=""),"",MIN(100,MAX(0,ROUND(L12*M12*N12,0))))</f>
        <v/>
      </c>
      <c r="Q12" s="9" t="inlineStr">
        <is>
          <t>External Partner</t>
        </is>
      </c>
      <c r="R12" s="9" t="inlineStr">
        <is>
          <t>Low</t>
        </is>
      </c>
      <c r="S12" s="9" t="inlineStr">
        <is>
          <t>Medium</t>
        </is>
      </c>
      <c r="T12" s="9" t="inlineStr">
        <is>
          <t>Integration points, timeline, support available</t>
        </is>
      </c>
      <c r="U12" s="9" t="n">
        <v>5</v>
      </c>
      <c r="W12" t="inlineStr">
        <is>
          <t>Level 1-2: No penalty (1.0)</t>
        </is>
      </c>
    </row>
    <row r="13">
      <c r="A13" s="9" t="inlineStr">
        <is>
          <t>Chris Lee</t>
        </is>
      </c>
      <c r="B13" s="9" t="inlineStr">
        <is>
          <t>HR/Training Team</t>
        </is>
      </c>
      <c r="C13" s="9" t="inlineStr">
        <is>
          <t>HR</t>
        </is>
      </c>
      <c r="D13" s="7">
        <f>IF(B13="","",VLOOKUP(B13,$Q$3:$U$14,2,FALSE))</f>
        <v/>
      </c>
      <c r="E13" s="7">
        <f>IF(B13="","",VLOOKUP(B13,$Q$3:$U$14,3,FALSE))</f>
        <v/>
      </c>
      <c r="F13" s="7" t="inlineStr">
        <is>
          <t>Committed</t>
        </is>
      </c>
      <c r="G13" s="7" t="inlineStr">
        <is>
          <t>Advocating</t>
        </is>
      </c>
      <c r="H13" s="7" t="n">
        <v>8</v>
      </c>
      <c r="I13" s="7" t="n">
        <v>2</v>
      </c>
      <c r="J13" s="7">
        <f>IF(B13="","",VLOOKUP(B13,$Q$3:$U$14,4,FALSE))</f>
        <v/>
      </c>
      <c r="K13" s="7">
        <f>IF(OR(D13="",E13=""),"",IF(AND(D13="High",E13="High"),"Manage Closely",IF(AND(D13="High",E13="Medium"),"Keep Satisfied",IF(AND(D13="High",E13="Low"),"Keep Satisfied",IF(AND(D13="Medium",E13="High"),"Keep Informed",IF(AND(D13="Medium",E13="Medium"),"Keep Informed",IF(AND(D13="Medium",E13="Low"),"Monitor",IF(AND(D13="Low",E13="High"),"Keep Informed",IF(AND(D13="Low",E13="Medium"),"Monitor","Monitor")))))))))</f>
        <v/>
      </c>
      <c r="L13" s="7">
        <f>IF(OR(F13="",G13=""),"",(VLOOKUP(G13,$W$3:$X$8,2,FALSE)-VLOOKUP(F13,$W$3:$X$8,2,FALSE))*IF(D13="High",3,IF(D13="Medium",2,1))*6.67)</f>
        <v/>
      </c>
      <c r="M13" s="7">
        <f>IF(B13="","",IF(VLOOKUP(B13,$Q$3:$U$14,5,FALSE)&lt;=2,1,1-((IF(AND($B$4="Executive Sponsor",OR($F$4="Committed",$F$4="Advocating")),0.3,0))+(IF(AND($B$5="Senior Leadership",OR($F$5="Committed",$F$5="Advocating")),0.2,0)))))</f>
        <v/>
      </c>
      <c r="N13" s="7">
        <f>IF(B13="","",((IF(VLOOKUP(B13,$Q$3:$U$14,5,FALSE)&lt;=2,1,IF(VLOOKUP(B13,$Q$3:$U$14,5,FALSE)=3,1.1,IF(VLOOKUP(B13,$Q$3:$U$14,5,FALSE)=4,1.2,1.3))))*(1+IF(H13="",0,IF(H13&gt;1000,0.3,IF(H13&gt;500,0.2,IF(H13&gt;100,0.1,0)))))))</f>
        <v/>
      </c>
      <c r="O13" s="7">
        <f>IF(OR(L13="",M13="",N13=""),"",MIN(100,MAX(0,ROUND(L13*M13*N13,0))))</f>
        <v/>
      </c>
      <c r="Q13" s="9" t="inlineStr">
        <is>
          <t>Union Representative</t>
        </is>
      </c>
      <c r="R13" s="9" t="inlineStr">
        <is>
          <t>Medium</t>
        </is>
      </c>
      <c r="S13" s="9" t="inlineStr">
        <is>
          <t>High</t>
        </is>
      </c>
      <c r="T13" s="9" t="inlineStr">
        <is>
          <t>Employee impacts, negotiation points, compliance</t>
        </is>
      </c>
      <c r="U13" s="9" t="n">
        <v>3</v>
      </c>
      <c r="W13" t="inlineStr">
        <is>
          <t>Level 3: +10% risk (1.1)</t>
        </is>
      </c>
      <c r="Z13" s="4" t="inlineStr">
        <is>
          <t>CASCADE LOGIC</t>
        </is>
      </c>
    </row>
    <row r="14">
      <c r="A14" s="9" t="inlineStr">
        <is>
          <t>Operations Team A</t>
        </is>
      </c>
      <c r="B14" s="9" t="inlineStr">
        <is>
          <t>End User (Heavy Impact)</t>
        </is>
      </c>
      <c r="C14" s="9" t="inlineStr">
        <is>
          <t>Operations</t>
        </is>
      </c>
      <c r="D14" s="7">
        <f>IF(B14="","",VLOOKUP(B14,$Q$3:$U$14,2,FALSE))</f>
        <v/>
      </c>
      <c r="E14" s="7">
        <f>IF(B14="","",VLOOKUP(B14,$Q$3:$U$14,3,FALSE))</f>
        <v/>
      </c>
      <c r="F14" s="7" t="inlineStr">
        <is>
          <t>Unaware</t>
        </is>
      </c>
      <c r="G14" s="7" t="inlineStr">
        <is>
          <t>Buy-in</t>
        </is>
      </c>
      <c r="H14" s="7" t="n">
        <v>150</v>
      </c>
      <c r="I14" s="7" t="n">
        <v>8</v>
      </c>
      <c r="J14" s="7">
        <f>IF(B14="","",VLOOKUP(B14,$Q$3:$U$14,4,FALSE))</f>
        <v/>
      </c>
      <c r="K14" s="7">
        <f>IF(OR(D14="",E14=""),"",IF(AND(D14="High",E14="High"),"Manage Closely",IF(AND(D14="High",E14="Medium"),"Keep Satisfied",IF(AND(D14="High",E14="Low"),"Keep Satisfied",IF(AND(D14="Medium",E14="High"),"Keep Informed",IF(AND(D14="Medium",E14="Medium"),"Keep Informed",IF(AND(D14="Medium",E14="Low"),"Monitor",IF(AND(D14="Low",E14="High"),"Keep Informed",IF(AND(D14="Low",E14="Medium"),"Monitor","Monitor")))))))))</f>
        <v/>
      </c>
      <c r="L14" s="7">
        <f>IF(OR(F14="",G14=""),"",(VLOOKUP(G14,$W$3:$X$8,2,FALSE)-VLOOKUP(F14,$W$3:$X$8,2,FALSE))*IF(D14="High",3,IF(D14="Medium",2,1))*6.67)</f>
        <v/>
      </c>
      <c r="M14" s="7">
        <f>IF(B14="","",IF(VLOOKUP(B14,$Q$3:$U$14,5,FALSE)&lt;=2,1,1-((IF(AND($B$4="Executive Sponsor",OR($F$4="Committed",$F$4="Advocating")),0.3,0))+(IF(AND($B$5="Senior Leadership",OR($F$5="Committed",$F$5="Advocating")),0.2,0)))))</f>
        <v/>
      </c>
      <c r="N14" s="7">
        <f>IF(B14="","",((IF(VLOOKUP(B14,$Q$3:$U$14,5,FALSE)&lt;=2,1,IF(VLOOKUP(B14,$Q$3:$U$14,5,FALSE)=3,1.1,IF(VLOOKUP(B14,$Q$3:$U$14,5,FALSE)=4,1.2,1.3))))*(1+IF(H14="",0,IF(H14&gt;1000,0.3,IF(H14&gt;500,0.2,IF(H14&gt;100,0.1,0)))))))</f>
        <v/>
      </c>
      <c r="O14" s="7">
        <f>IF(OR(L14="",M14="",N14=""),"",MIN(100,MAX(0,ROUND(L14*M14*N14,0))))</f>
        <v/>
      </c>
      <c r="Q14" s="9" t="inlineStr">
        <is>
          <t>Customer</t>
        </is>
      </c>
      <c r="R14" s="9" t="inlineStr">
        <is>
          <t>Low</t>
        </is>
      </c>
      <c r="S14" s="9" t="inlineStr">
        <is>
          <t>Medium</t>
        </is>
      </c>
      <c r="T14" s="9" t="inlineStr">
        <is>
          <t>Service improvements, transition period, support</t>
        </is>
      </c>
      <c r="U14" s="9" t="n">
        <v>5</v>
      </c>
      <c r="W14" t="inlineStr">
        <is>
          <t>Level 4: +20% risk (1.2)</t>
        </is>
      </c>
      <c r="Z14" s="14" t="inlineStr">
        <is>
          <t>Leadership aligned = -30-50%</t>
        </is>
      </c>
    </row>
    <row r="15">
      <c r="A15" s="9" t="inlineStr">
        <is>
          <t>Operations Team B</t>
        </is>
      </c>
      <c r="B15" s="9" t="inlineStr">
        <is>
          <t>End User (Heavy Impact)</t>
        </is>
      </c>
      <c r="C15" s="9" t="inlineStr">
        <is>
          <t>Operations</t>
        </is>
      </c>
      <c r="D15" s="7">
        <f>IF(B15="","",VLOOKUP(B15,$Q$3:$U$14,2,FALSE))</f>
        <v/>
      </c>
      <c r="E15" s="7">
        <f>IF(B15="","",VLOOKUP(B15,$Q$3:$U$14,3,FALSE))</f>
        <v/>
      </c>
      <c r="F15" s="7" t="inlineStr">
        <is>
          <t>Aware</t>
        </is>
      </c>
      <c r="G15" s="7" t="inlineStr">
        <is>
          <t>Committed</t>
        </is>
      </c>
      <c r="H15" s="7" t="n">
        <v>120</v>
      </c>
      <c r="I15" s="7" t="n">
        <v>7</v>
      </c>
      <c r="J15" s="7">
        <f>IF(B15="","",VLOOKUP(B15,$Q$3:$U$14,4,FALSE))</f>
        <v/>
      </c>
      <c r="K15" s="7">
        <f>IF(OR(D15="",E15=""),"",IF(AND(D15="High",E15="High"),"Manage Closely",IF(AND(D15="High",E15="Medium"),"Keep Satisfied",IF(AND(D15="High",E15="Low"),"Keep Satisfied",IF(AND(D15="Medium",E15="High"),"Keep Informed",IF(AND(D15="Medium",E15="Medium"),"Keep Informed",IF(AND(D15="Medium",E15="Low"),"Monitor",IF(AND(D15="Low",E15="High"),"Keep Informed",IF(AND(D15="Low",E15="Medium"),"Monitor","Monitor")))))))))</f>
        <v/>
      </c>
      <c r="L15" s="7">
        <f>IF(OR(F15="",G15=""),"",(VLOOKUP(G15,$W$3:$X$8,2,FALSE)-VLOOKUP(F15,$W$3:$X$8,2,FALSE))*IF(D15="High",3,IF(D15="Medium",2,1))*6.67)</f>
        <v/>
      </c>
      <c r="M15" s="7">
        <f>IF(B15="","",IF(VLOOKUP(B15,$Q$3:$U$14,5,FALSE)&lt;=2,1,1-((IF(AND($B$4="Executive Sponsor",OR($F$4="Committed",$F$4="Advocating")),0.3,0))+(IF(AND($B$5="Senior Leadership",OR($F$5="Committed",$F$5="Advocating")),0.2,0)))))</f>
        <v/>
      </c>
      <c r="N15" s="7">
        <f>IF(B15="","",((IF(VLOOKUP(B15,$Q$3:$U$14,5,FALSE)&lt;=2,1,IF(VLOOKUP(B15,$Q$3:$U$14,5,FALSE)=3,1.1,IF(VLOOKUP(B15,$Q$3:$U$14,5,FALSE)=4,1.2,1.3))))*(1+IF(H15="",0,IF(H15&gt;1000,0.3,IF(H15&gt;500,0.2,IF(H15&gt;100,0.1,0)))))))</f>
        <v/>
      </c>
      <c r="O15" s="7">
        <f>IF(OR(L15="",M15="",N15=""),"",MIN(100,MAX(0,ROUND(L15*M15*N15,0))))</f>
        <v/>
      </c>
      <c r="W15" t="inlineStr">
        <is>
          <t>Level 5: +30% risk (1.3)</t>
        </is>
      </c>
      <c r="Z15" s="14" t="inlineStr">
        <is>
          <t>But distance adds risk back:</t>
        </is>
      </c>
    </row>
    <row r="16">
      <c r="A16" s="9" t="inlineStr">
        <is>
          <t>Admin Staff</t>
        </is>
      </c>
      <c r="B16" s="9" t="inlineStr">
        <is>
          <t>End User (Light Impact)</t>
        </is>
      </c>
      <c r="C16" s="9" t="inlineStr">
        <is>
          <t>Admin</t>
        </is>
      </c>
      <c r="D16" s="7">
        <f>IF(B16="","",VLOOKUP(B16,$Q$3:$U$14,2,FALSE))</f>
        <v/>
      </c>
      <c r="E16" s="7">
        <f>IF(B16="","",VLOOKUP(B16,$Q$3:$U$14,3,FALSE))</f>
        <v/>
      </c>
      <c r="F16" s="7" t="inlineStr">
        <is>
          <t>Unaware</t>
        </is>
      </c>
      <c r="G16" s="7" t="inlineStr">
        <is>
          <t>Understanding</t>
        </is>
      </c>
      <c r="H16" s="7" t="n">
        <v>45</v>
      </c>
      <c r="I16" s="7" t="n">
        <v>6</v>
      </c>
      <c r="J16" s="7">
        <f>IF(B16="","",VLOOKUP(B16,$Q$3:$U$14,4,FALSE))</f>
        <v/>
      </c>
      <c r="K16" s="7">
        <f>IF(OR(D16="",E16=""),"",IF(AND(D16="High",E16="High"),"Manage Closely",IF(AND(D16="High",E16="Medium"),"Keep Satisfied",IF(AND(D16="High",E16="Low"),"Keep Satisfied",IF(AND(D16="Medium",E16="High"),"Keep Informed",IF(AND(D16="Medium",E16="Medium"),"Keep Informed",IF(AND(D16="Medium",E16="Low"),"Monitor",IF(AND(D16="Low",E16="High"),"Keep Informed",IF(AND(D16="Low",E16="Medium"),"Monitor","Monitor")))))))))</f>
        <v/>
      </c>
      <c r="L16" s="7">
        <f>IF(OR(F16="",G16=""),"",(VLOOKUP(G16,$W$3:$X$8,2,FALSE)-VLOOKUP(F16,$W$3:$X$8,2,FALSE))*IF(D16="High",3,IF(D16="Medium",2,1))*6.67)</f>
        <v/>
      </c>
      <c r="M16" s="7">
        <f>IF(B16="","",IF(VLOOKUP(B16,$Q$3:$U$14,5,FALSE)&lt;=2,1,1-((IF(AND($B$4="Executive Sponsor",OR($F$4="Committed",$F$4="Advocating")),0.3,0))+(IF(AND($B$5="Senior Leadership",OR($F$5="Committed",$F$5="Advocating")),0.2,0)))))</f>
        <v/>
      </c>
      <c r="N16" s="7">
        <f>IF(B16="","",((IF(VLOOKUP(B16,$Q$3:$U$14,5,FALSE)&lt;=2,1,IF(VLOOKUP(B16,$Q$3:$U$14,5,FALSE)=3,1.1,IF(VLOOKUP(B16,$Q$3:$U$14,5,FALSE)=4,1.2,1.3))))*(1+IF(H16="",0,IF(H16&gt;1000,0.3,IF(H16&gt;500,0.2,IF(H16&gt;100,0.1,0)))))))</f>
        <v/>
      </c>
      <c r="O16" s="7">
        <f>IF(OR(L16="",M16="",N16=""),"",MIN(100,MAX(0,ROUND(L16*M16*N16,0))))</f>
        <v/>
      </c>
      <c r="W16" t="inlineStr"/>
      <c r="Z16" s="14" t="inlineStr">
        <is>
          <t>Level 3: +10%</t>
        </is>
      </c>
    </row>
    <row r="17">
      <c r="A17" s="9" t="inlineStr">
        <is>
          <t>Finance Team</t>
        </is>
      </c>
      <c r="B17" s="9" t="inlineStr">
        <is>
          <t>End User (Light Impact)</t>
        </is>
      </c>
      <c r="C17" s="9" t="inlineStr">
        <is>
          <t>Finance</t>
        </is>
      </c>
      <c r="D17" s="7">
        <f>IF(B17="","",VLOOKUP(B17,$Q$3:$U$14,2,FALSE))</f>
        <v/>
      </c>
      <c r="E17" s="7">
        <f>IF(B17="","",VLOOKUP(B17,$Q$3:$U$14,3,FALSE))</f>
        <v/>
      </c>
      <c r="F17" s="7" t="inlineStr">
        <is>
          <t>Aware</t>
        </is>
      </c>
      <c r="G17" s="7" t="inlineStr">
        <is>
          <t>Buy-in</t>
        </is>
      </c>
      <c r="H17" s="7" t="n">
        <v>25</v>
      </c>
      <c r="I17" s="7" t="n">
        <v>5</v>
      </c>
      <c r="J17" s="7">
        <f>IF(B17="","",VLOOKUP(B17,$Q$3:$U$14,4,FALSE))</f>
        <v/>
      </c>
      <c r="K17" s="7">
        <f>IF(OR(D17="",E17=""),"",IF(AND(D17="High",E17="High"),"Manage Closely",IF(AND(D17="High",E17="Medium"),"Keep Satisfied",IF(AND(D17="High",E17="Low"),"Keep Satisfied",IF(AND(D17="Medium",E17="High"),"Keep Informed",IF(AND(D17="Medium",E17="Medium"),"Keep Informed",IF(AND(D17="Medium",E17="Low"),"Monitor",IF(AND(D17="Low",E17="High"),"Keep Informed",IF(AND(D17="Low",E17="Medium"),"Monitor","Monitor")))))))))</f>
        <v/>
      </c>
      <c r="L17" s="7">
        <f>IF(OR(F17="",G17=""),"",(VLOOKUP(G17,$W$3:$X$8,2,FALSE)-VLOOKUP(F17,$W$3:$X$8,2,FALSE))*IF(D17="High",3,IF(D17="Medium",2,1))*6.67)</f>
        <v/>
      </c>
      <c r="M17" s="7">
        <f>IF(B17="","",IF(VLOOKUP(B17,$Q$3:$U$14,5,FALSE)&lt;=2,1,1-((IF(AND($B$4="Executive Sponsor",OR($F$4="Committed",$F$4="Advocating")),0.3,0))+(IF(AND($B$5="Senior Leadership",OR($F$5="Committed",$F$5="Advocating")),0.2,0)))))</f>
        <v/>
      </c>
      <c r="N17" s="7">
        <f>IF(B17="","",((IF(VLOOKUP(B17,$Q$3:$U$14,5,FALSE)&lt;=2,1,IF(VLOOKUP(B17,$Q$3:$U$14,5,FALSE)=3,1.1,IF(VLOOKUP(B17,$Q$3:$U$14,5,FALSE)=4,1.2,1.3))))*(1+IF(H17="",0,IF(H17&gt;1000,0.3,IF(H17&gt;500,0.2,IF(H17&gt;100,0.1,0)))))))</f>
        <v/>
      </c>
      <c r="O17" s="7">
        <f>IF(OR(L17="",M17="",N17=""),"",MIN(100,MAX(0,ROUND(L17*M17*N17,0))))</f>
        <v/>
      </c>
      <c r="W17" t="inlineStr">
        <is>
          <t>Headcount amplifier:</t>
        </is>
      </c>
      <c r="Z17" s="14" t="inlineStr">
        <is>
          <t>Level 4: +20%</t>
        </is>
      </c>
    </row>
    <row r="18">
      <c r="A18" s="9" t="inlineStr">
        <is>
          <t>External Vendor</t>
        </is>
      </c>
      <c r="B18" s="9" t="inlineStr">
        <is>
          <t>External Partner</t>
        </is>
      </c>
      <c r="C18" s="9" t="inlineStr">
        <is>
          <t>External</t>
        </is>
      </c>
      <c r="D18" s="7">
        <f>IF(B18="","",VLOOKUP(B18,$Q$3:$U$14,2,FALSE))</f>
        <v/>
      </c>
      <c r="E18" s="7">
        <f>IF(B18="","",VLOOKUP(B18,$Q$3:$U$14,3,FALSE))</f>
        <v/>
      </c>
      <c r="F18" s="7" t="inlineStr">
        <is>
          <t>Understanding</t>
        </is>
      </c>
      <c r="G18" s="7" t="inlineStr">
        <is>
          <t>Buy-in</t>
        </is>
      </c>
      <c r="H18" s="7" t="n">
        <v>10</v>
      </c>
      <c r="I18" s="7" t="n">
        <v>4</v>
      </c>
      <c r="J18" s="7">
        <f>IF(B18="","",VLOOKUP(B18,$Q$3:$U$14,4,FALSE))</f>
        <v/>
      </c>
      <c r="K18" s="7">
        <f>IF(OR(D18="",E18=""),"",IF(AND(D18="High",E18="High"),"Manage Closely",IF(AND(D18="High",E18="Medium"),"Keep Satisfied",IF(AND(D18="High",E18="Low"),"Keep Satisfied",IF(AND(D18="Medium",E18="High"),"Keep Informed",IF(AND(D18="Medium",E18="Medium"),"Keep Informed",IF(AND(D18="Medium",E18="Low"),"Monitor",IF(AND(D18="Low",E18="High"),"Keep Informed",IF(AND(D18="Low",E18="Medium"),"Monitor","Monitor")))))))))</f>
        <v/>
      </c>
      <c r="L18" s="7">
        <f>IF(OR(F18="",G18=""),"",(VLOOKUP(G18,$W$3:$X$8,2,FALSE)-VLOOKUP(F18,$W$3:$X$8,2,FALSE))*IF(D18="High",3,IF(D18="Medium",2,1))*6.67)</f>
        <v/>
      </c>
      <c r="M18" s="7">
        <f>IF(B18="","",IF(VLOOKUP(B18,$Q$3:$U$14,5,FALSE)&lt;=2,1,1-((IF(AND($B$4="Executive Sponsor",OR($F$4="Committed",$F$4="Advocating")),0.3,0))+(IF(AND($B$5="Senior Leadership",OR($F$5="Committed",$F$5="Advocating")),0.2,0)))))</f>
        <v/>
      </c>
      <c r="N18" s="7">
        <f>IF(B18="","",((IF(VLOOKUP(B18,$Q$3:$U$14,5,FALSE)&lt;=2,1,IF(VLOOKUP(B18,$Q$3:$U$14,5,FALSE)=3,1.1,IF(VLOOKUP(B18,$Q$3:$U$14,5,FALSE)=4,1.2,1.3))))*(1+IF(H18="",0,IF(H18&gt;1000,0.3,IF(H18&gt;500,0.2,IF(H18&gt;100,0.1,0)))))))</f>
        <v/>
      </c>
      <c r="O18" s="7">
        <f>IF(OR(L18="",M18="",N18=""),"",MIN(100,MAX(0,ROUND(L18*M18*N18,0))))</f>
        <v/>
      </c>
      <c r="W18" t="inlineStr">
        <is>
          <t>&gt;100 people: +10%</t>
        </is>
      </c>
      <c r="Z18" s="14" t="inlineStr">
        <is>
          <t>Level 5: +30%</t>
        </is>
      </c>
    </row>
    <row r="19">
      <c r="A19" s="9" t="n"/>
      <c r="B19" s="9" t="n"/>
      <c r="C19" s="9" t="n"/>
      <c r="D19" s="7">
        <f>IF(B19="","",VLOOKUP(B19,$Q$3:$U$14,2,FALSE))</f>
        <v/>
      </c>
      <c r="E19" s="7">
        <f>IF(B19="","",VLOOKUP(B19,$Q$3:$U$14,3,FALSE))</f>
        <v/>
      </c>
      <c r="F19" s="7" t="n"/>
      <c r="G19" s="7" t="n"/>
      <c r="H19" s="7" t="n"/>
      <c r="I19" s="7" t="n"/>
      <c r="J19" s="7">
        <f>IF(B19="","",VLOOKUP(B19,$Q$3:$U$14,4,FALSE))</f>
        <v/>
      </c>
      <c r="K19" s="7">
        <f>IF(OR(D19="",E19=""),"",IF(AND(D19="High",E19="High"),"Manage Closely",IF(AND(D19="High",E19="Medium"),"Keep Satisfied",IF(AND(D19="High",E19="Low"),"Keep Satisfied",IF(AND(D19="Medium",E19="High"),"Keep Informed",IF(AND(D19="Medium",E19="Medium"),"Keep Informed",IF(AND(D19="Medium",E19="Low"),"Monitor",IF(AND(D19="Low",E19="High"),"Keep Informed",IF(AND(D19="Low",E19="Medium"),"Monitor","Monitor")))))))))</f>
        <v/>
      </c>
      <c r="L19" s="7">
        <f>IF(OR(F19="",G19=""),"",(VLOOKUP(G19,$W$3:$X$8,2,FALSE)-VLOOKUP(F19,$W$3:$X$8,2,FALSE))*IF(D19="High",3,IF(D19="Medium",2,1))*6.67)</f>
        <v/>
      </c>
      <c r="M19" s="7">
        <f>IF(B19="","",IF(VLOOKUP(B19,$Q$3:$U$14,5,FALSE)&lt;=2,1,1-((IF(AND($B$4="Executive Sponsor",OR($F$4="Committed",$F$4="Advocating")),0.3,0))+(IF(AND($B$5="Senior Leadership",OR($F$5="Committed",$F$5="Advocating")),0.2,0)))))</f>
        <v/>
      </c>
      <c r="N19" s="7">
        <f>IF(B19="","",((IF(VLOOKUP(B19,$Q$3:$U$14,5,FALSE)&lt;=2,1,IF(VLOOKUP(B19,$Q$3:$U$14,5,FALSE)=3,1.1,IF(VLOOKUP(B19,$Q$3:$U$14,5,FALSE)=4,1.2,1.3))))*(1+IF(H19="",0,IF(H19&gt;1000,0.3,IF(H19&gt;500,0.2,IF(H19&gt;100,0.1,0)))))))</f>
        <v/>
      </c>
      <c r="O19" s="7">
        <f>IF(OR(L19="",M19="",N19=""),"",MIN(100,MAX(0,ROUND(L19*M19*N19,0))))</f>
        <v/>
      </c>
      <c r="W19" t="inlineStr">
        <is>
          <t>&gt;500 people: +20%</t>
        </is>
      </c>
    </row>
    <row r="20">
      <c r="A20" s="9" t="n"/>
      <c r="B20" s="9" t="n"/>
      <c r="C20" s="9" t="n"/>
      <c r="D20" s="7">
        <f>IF(B20="","",VLOOKUP(B20,$Q$3:$U$14,2,FALSE))</f>
        <v/>
      </c>
      <c r="E20" s="7">
        <f>IF(B20="","",VLOOKUP(B20,$Q$3:$U$14,3,FALSE))</f>
        <v/>
      </c>
      <c r="F20" s="7" t="n"/>
      <c r="G20" s="7" t="n"/>
      <c r="H20" s="7" t="n"/>
      <c r="I20" s="7" t="n"/>
      <c r="J20" s="7">
        <f>IF(B20="","",VLOOKUP(B20,$Q$3:$U$14,4,FALSE))</f>
        <v/>
      </c>
      <c r="K20" s="7">
        <f>IF(OR(D20="",E20=""),"",IF(AND(D20="High",E20="High"),"Manage Closely",IF(AND(D20="High",E20="Medium"),"Keep Satisfied",IF(AND(D20="High",E20="Low"),"Keep Satisfied",IF(AND(D20="Medium",E20="High"),"Keep Informed",IF(AND(D20="Medium",E20="Medium"),"Keep Informed",IF(AND(D20="Medium",E20="Low"),"Monitor",IF(AND(D20="Low",E20="High"),"Keep Informed",IF(AND(D20="Low",E20="Medium"),"Monitor","Monitor")))))))))</f>
        <v/>
      </c>
      <c r="L20" s="7">
        <f>IF(OR(F20="",G20=""),"",(VLOOKUP(G20,$W$3:$X$8,2,FALSE)-VLOOKUP(F20,$W$3:$X$8,2,FALSE))*IF(D20="High",3,IF(D20="Medium",2,1))*6.67)</f>
        <v/>
      </c>
      <c r="M20" s="7">
        <f>IF(B20="","",IF(VLOOKUP(B20,$Q$3:$U$14,5,FALSE)&lt;=2,1,1-((IF(AND($B$4="Executive Sponsor",OR($F$4="Committed",$F$4="Advocating")),0.3,0))+(IF(AND($B$5="Senior Leadership",OR($F$5="Committed",$F$5="Advocating")),0.2,0)))))</f>
        <v/>
      </c>
      <c r="N20" s="7">
        <f>IF(B20="","",((IF(VLOOKUP(B20,$Q$3:$U$14,5,FALSE)&lt;=2,1,IF(VLOOKUP(B20,$Q$3:$U$14,5,FALSE)=3,1.1,IF(VLOOKUP(B20,$Q$3:$U$14,5,FALSE)=4,1.2,1.3))))*(1+IF(H20="",0,IF(H20&gt;1000,0.3,IF(H20&gt;500,0.2,IF(H20&gt;100,0.1,0)))))))</f>
        <v/>
      </c>
      <c r="O20" s="7">
        <f>IF(OR(L20="",M20="",N20=""),"",MIN(100,MAX(0,ROUND(L20*M20*N20,0))))</f>
        <v/>
      </c>
      <c r="W20" t="inlineStr">
        <is>
          <t>&gt;1000 people: +30%</t>
        </is>
      </c>
      <c r="Z20" s="4" t="inlineStr">
        <is>
          <t>HEADCOUNT AMPLIFIER</t>
        </is>
      </c>
    </row>
    <row r="21">
      <c r="A21" s="9" t="n"/>
      <c r="B21" s="9" t="n"/>
      <c r="C21" s="9" t="n"/>
      <c r="D21" s="7">
        <f>IF(B21="","",VLOOKUP(B21,$Q$3:$U$14,2,FALSE))</f>
        <v/>
      </c>
      <c r="E21" s="7">
        <f>IF(B21="","",VLOOKUP(B21,$Q$3:$U$14,3,FALSE))</f>
        <v/>
      </c>
      <c r="F21" s="7" t="n"/>
      <c r="G21" s="7" t="n"/>
      <c r="H21" s="7" t="n"/>
      <c r="I21" s="7" t="n"/>
      <c r="J21" s="7">
        <f>IF(B21="","",VLOOKUP(B21,$Q$3:$U$14,4,FALSE))</f>
        <v/>
      </c>
      <c r="K21" s="7">
        <f>IF(OR(D21="",E21=""),"",IF(AND(D21="High",E21="High"),"Manage Closely",IF(AND(D21="High",E21="Medium"),"Keep Satisfied",IF(AND(D21="High",E21="Low"),"Keep Satisfied",IF(AND(D21="Medium",E21="High"),"Keep Informed",IF(AND(D21="Medium",E21="Medium"),"Keep Informed",IF(AND(D21="Medium",E21="Low"),"Monitor",IF(AND(D21="Low",E21="High"),"Keep Informed",IF(AND(D21="Low",E21="Medium"),"Monitor","Monitor")))))))))</f>
        <v/>
      </c>
      <c r="L21" s="7">
        <f>IF(OR(F21="",G21=""),"",(VLOOKUP(G21,$W$3:$X$8,2,FALSE)-VLOOKUP(F21,$W$3:$X$8,2,FALSE))*IF(D21="High",3,IF(D21="Medium",2,1))*6.67)</f>
        <v/>
      </c>
      <c r="M21" s="7">
        <f>IF(B21="","",IF(VLOOKUP(B21,$Q$3:$U$14,5,FALSE)&lt;=2,1,1-((IF(AND($B$4="Executive Sponsor",OR($F$4="Committed",$F$4="Advocating")),0.3,0))+(IF(AND($B$5="Senior Leadership",OR($F$5="Committed",$F$5="Advocating")),0.2,0)))))</f>
        <v/>
      </c>
      <c r="N21" s="7">
        <f>IF(B21="","",((IF(VLOOKUP(B21,$Q$3:$U$14,5,FALSE)&lt;=2,1,IF(VLOOKUP(B21,$Q$3:$U$14,5,FALSE)=3,1.1,IF(VLOOKUP(B21,$Q$3:$U$14,5,FALSE)=4,1.2,1.3))))*(1+IF(H21="",0,IF(H21&gt;1000,0.3,IF(H21&gt;500,0.2,IF(H21&gt;100,0.1,0)))))))</f>
        <v/>
      </c>
      <c r="O21" s="7">
        <f>IF(OR(L21="",M21="",N21=""),"",MIN(100,MAX(0,ROUND(L21*M21*N21,0))))</f>
        <v/>
      </c>
      <c r="Z21" s="14" t="inlineStr">
        <is>
          <t>More people = more dilution</t>
        </is>
      </c>
    </row>
    <row r="22">
      <c r="A22" s="9" t="n"/>
      <c r="B22" s="9" t="n"/>
      <c r="C22" s="9" t="n"/>
      <c r="D22" s="7">
        <f>IF(B22="","",VLOOKUP(B22,$Q$3:$U$14,2,FALSE))</f>
        <v/>
      </c>
      <c r="E22" s="7">
        <f>IF(B22="","",VLOOKUP(B22,$Q$3:$U$14,3,FALSE))</f>
        <v/>
      </c>
      <c r="F22" s="7" t="n"/>
      <c r="G22" s="7" t="n"/>
      <c r="H22" s="7" t="n"/>
      <c r="I22" s="7" t="n"/>
      <c r="J22" s="7">
        <f>IF(B22="","",VLOOKUP(B22,$Q$3:$U$14,4,FALSE))</f>
        <v/>
      </c>
      <c r="K22" s="7">
        <f>IF(OR(D22="",E22=""),"",IF(AND(D22="High",E22="High"),"Manage Closely",IF(AND(D22="High",E22="Medium"),"Keep Satisfied",IF(AND(D22="High",E22="Low"),"Keep Satisfied",IF(AND(D22="Medium",E22="High"),"Keep Informed",IF(AND(D22="Medium",E22="Medium"),"Keep Informed",IF(AND(D22="Medium",E22="Low"),"Monitor",IF(AND(D22="Low",E22="High"),"Keep Informed",IF(AND(D22="Low",E22="Medium"),"Monitor","Monitor")))))))))</f>
        <v/>
      </c>
      <c r="L22" s="7">
        <f>IF(OR(F22="",G22=""),"",(VLOOKUP(G22,$W$3:$X$8,2,FALSE)-VLOOKUP(F22,$W$3:$X$8,2,FALSE))*IF(D22="High",3,IF(D22="Medium",2,1))*6.67)</f>
        <v/>
      </c>
      <c r="M22" s="7">
        <f>IF(B22="","",IF(VLOOKUP(B22,$Q$3:$U$14,5,FALSE)&lt;=2,1,1-((IF(AND($B$4="Executive Sponsor",OR($F$4="Committed",$F$4="Advocating")),0.3,0))+(IF(AND($B$5="Senior Leadership",OR($F$5="Committed",$F$5="Advocating")),0.2,0)))))</f>
        <v/>
      </c>
      <c r="N22" s="7">
        <f>IF(B22="","",((IF(VLOOKUP(B22,$Q$3:$U$14,5,FALSE)&lt;=2,1,IF(VLOOKUP(B22,$Q$3:$U$14,5,FALSE)=3,1.1,IF(VLOOKUP(B22,$Q$3:$U$14,5,FALSE)=4,1.2,1.3))))*(1+IF(H22="",0,IF(H22&gt;1000,0.3,IF(H22&gt;500,0.2,IF(H22&gt;100,0.1,0)))))))</f>
        <v/>
      </c>
      <c r="O22" s="7">
        <f>IF(OR(L22="",M22="",N22=""),"",MIN(100,MAX(0,ROUND(L22*M22*N22,0))))</f>
        <v/>
      </c>
      <c r="Z22" s="14" t="inlineStr">
        <is>
          <t>&gt;100 people: +10% risk</t>
        </is>
      </c>
    </row>
    <row r="23">
      <c r="A23" s="9" t="n"/>
      <c r="B23" s="9" t="n"/>
      <c r="C23" s="9" t="n"/>
      <c r="D23" s="7">
        <f>IF(B23="","",VLOOKUP(B23,$Q$3:$U$14,2,FALSE))</f>
        <v/>
      </c>
      <c r="E23" s="7">
        <f>IF(B23="","",VLOOKUP(B23,$Q$3:$U$14,3,FALSE))</f>
        <v/>
      </c>
      <c r="F23" s="7" t="n"/>
      <c r="G23" s="7" t="n"/>
      <c r="H23" s="7" t="n"/>
      <c r="I23" s="7" t="n"/>
      <c r="J23" s="7">
        <f>IF(B23="","",VLOOKUP(B23,$Q$3:$U$14,4,FALSE))</f>
        <v/>
      </c>
      <c r="K23" s="7">
        <f>IF(OR(D23="",E23=""),"",IF(AND(D23="High",E23="High"),"Manage Closely",IF(AND(D23="High",E23="Medium"),"Keep Satisfied",IF(AND(D23="High",E23="Low"),"Keep Satisfied",IF(AND(D23="Medium",E23="High"),"Keep Informed",IF(AND(D23="Medium",E23="Medium"),"Keep Informed",IF(AND(D23="Medium",E23="Low"),"Monitor",IF(AND(D23="Low",E23="High"),"Keep Informed",IF(AND(D23="Low",E23="Medium"),"Monitor","Monitor")))))))))</f>
        <v/>
      </c>
      <c r="L23" s="7">
        <f>IF(OR(F23="",G23=""),"",(VLOOKUP(G23,$W$3:$X$8,2,FALSE)-VLOOKUP(F23,$W$3:$X$8,2,FALSE))*IF(D23="High",3,IF(D23="Medium",2,1))*6.67)</f>
        <v/>
      </c>
      <c r="M23" s="7">
        <f>IF(B23="","",IF(VLOOKUP(B23,$Q$3:$U$14,5,FALSE)&lt;=2,1,1-((IF(AND($B$4="Executive Sponsor",OR($F$4="Committed",$F$4="Advocating")),0.3,0))+(IF(AND($B$5="Senior Leadership",OR($F$5="Committed",$F$5="Advocating")),0.2,0)))))</f>
        <v/>
      </c>
      <c r="N23" s="7">
        <f>IF(B23="","",((IF(VLOOKUP(B23,$Q$3:$U$14,5,FALSE)&lt;=2,1,IF(VLOOKUP(B23,$Q$3:$U$14,5,FALSE)=3,1.1,IF(VLOOKUP(B23,$Q$3:$U$14,5,FALSE)=4,1.2,1.3))))*(1+IF(H23="",0,IF(H23&gt;1000,0.3,IF(H23&gt;500,0.2,IF(H23&gt;100,0.1,0)))))))</f>
        <v/>
      </c>
      <c r="O23" s="7">
        <f>IF(OR(L23="",M23="",N23=""),"",MIN(100,MAX(0,ROUND(L23*M23*N23,0))))</f>
        <v/>
      </c>
      <c r="Z23" s="14" t="inlineStr">
        <is>
          <t>&gt;500 people: +20% risk</t>
        </is>
      </c>
    </row>
    <row r="24">
      <c r="A24" s="9" t="n"/>
      <c r="B24" s="9" t="n"/>
      <c r="C24" s="9" t="n"/>
      <c r="D24" s="7">
        <f>IF(B24="","",VLOOKUP(B24,$Q$3:$U$14,2,FALSE))</f>
        <v/>
      </c>
      <c r="E24" s="7">
        <f>IF(B24="","",VLOOKUP(B24,$Q$3:$U$14,3,FALSE))</f>
        <v/>
      </c>
      <c r="F24" s="7" t="n"/>
      <c r="G24" s="7" t="n"/>
      <c r="H24" s="7" t="n"/>
      <c r="I24" s="7" t="n"/>
      <c r="J24" s="7">
        <f>IF(B24="","",VLOOKUP(B24,$Q$3:$U$14,4,FALSE))</f>
        <v/>
      </c>
      <c r="K24" s="7">
        <f>IF(OR(D24="",E24=""),"",IF(AND(D24="High",E24="High"),"Manage Closely",IF(AND(D24="High",E24="Medium"),"Keep Satisfied",IF(AND(D24="High",E24="Low"),"Keep Satisfied",IF(AND(D24="Medium",E24="High"),"Keep Informed",IF(AND(D24="Medium",E24="Medium"),"Keep Informed",IF(AND(D24="Medium",E24="Low"),"Monitor",IF(AND(D24="Low",E24="High"),"Keep Informed",IF(AND(D24="Low",E24="Medium"),"Monitor","Monitor")))))))))</f>
        <v/>
      </c>
      <c r="L24" s="7">
        <f>IF(OR(F24="",G24=""),"",(VLOOKUP(G24,$W$3:$X$8,2,FALSE)-VLOOKUP(F24,$W$3:$X$8,2,FALSE))*IF(D24="High",3,IF(D24="Medium",2,1))*6.67)</f>
        <v/>
      </c>
      <c r="M24" s="7">
        <f>IF(B24="","",IF(VLOOKUP(B24,$Q$3:$U$14,5,FALSE)&lt;=2,1,1-((IF(AND($B$4="Executive Sponsor",OR($F$4="Committed",$F$4="Advocating")),0.3,0))+(IF(AND($B$5="Senior Leadership",OR($F$5="Committed",$F$5="Advocating")),0.2,0)))))</f>
        <v/>
      </c>
      <c r="N24" s="7">
        <f>IF(B24="","",((IF(VLOOKUP(B24,$Q$3:$U$14,5,FALSE)&lt;=2,1,IF(VLOOKUP(B24,$Q$3:$U$14,5,FALSE)=3,1.1,IF(VLOOKUP(B24,$Q$3:$U$14,5,FALSE)=4,1.2,1.3))))*(1+IF(H24="",0,IF(H24&gt;1000,0.3,IF(H24&gt;500,0.2,IF(H24&gt;100,0.1,0)))))))</f>
        <v/>
      </c>
      <c r="O24" s="7">
        <f>IF(OR(L24="",M24="",N24=""),"",MIN(100,MAX(0,ROUND(L24*M24*N24,0))))</f>
        <v/>
      </c>
      <c r="Z24" s="14" t="inlineStr">
        <is>
          <t>&gt;1000 people: +30% risk</t>
        </is>
      </c>
    </row>
    <row r="25">
      <c r="A25" s="9" t="n"/>
      <c r="B25" s="9" t="n"/>
      <c r="C25" s="9" t="n"/>
      <c r="D25" s="7">
        <f>IF(B25="","",VLOOKUP(B25,$Q$3:$U$14,2,FALSE))</f>
        <v/>
      </c>
      <c r="E25" s="7">
        <f>IF(B25="","",VLOOKUP(B25,$Q$3:$U$14,3,FALSE))</f>
        <v/>
      </c>
      <c r="F25" s="7" t="n"/>
      <c r="G25" s="7" t="n"/>
      <c r="H25" s="7" t="n"/>
      <c r="I25" s="7" t="n"/>
      <c r="J25" s="7">
        <f>IF(B25="","",VLOOKUP(B25,$Q$3:$U$14,4,FALSE))</f>
        <v/>
      </c>
      <c r="K25" s="7">
        <f>IF(OR(D25="",E25=""),"",IF(AND(D25="High",E25="High"),"Manage Closely",IF(AND(D25="High",E25="Medium"),"Keep Satisfied",IF(AND(D25="High",E25="Low"),"Keep Satisfied",IF(AND(D25="Medium",E25="High"),"Keep Informed",IF(AND(D25="Medium",E25="Medium"),"Keep Informed",IF(AND(D25="Medium",E25="Low"),"Monitor",IF(AND(D25="Low",E25="High"),"Keep Informed",IF(AND(D25="Low",E25="Medium"),"Monitor","Monitor")))))))))</f>
        <v/>
      </c>
      <c r="L25" s="7">
        <f>IF(OR(F25="",G25=""),"",(VLOOKUP(G25,$W$3:$X$8,2,FALSE)-VLOOKUP(F25,$W$3:$X$8,2,FALSE))*IF(D25="High",3,IF(D25="Medium",2,1))*6.67)</f>
        <v/>
      </c>
      <c r="M25" s="7">
        <f>IF(B25="","",IF(VLOOKUP(B25,$Q$3:$U$14,5,FALSE)&lt;=2,1,1-((IF(AND($B$4="Executive Sponsor",OR($F$4="Committed",$F$4="Advocating")),0.3,0))+(IF(AND($B$5="Senior Leadership",OR($F$5="Committed",$F$5="Advocating")),0.2,0)))))</f>
        <v/>
      </c>
      <c r="N25" s="7">
        <f>IF(B25="","",((IF(VLOOKUP(B25,$Q$3:$U$14,5,FALSE)&lt;=2,1,IF(VLOOKUP(B25,$Q$3:$U$14,5,FALSE)=3,1.1,IF(VLOOKUP(B25,$Q$3:$U$14,5,FALSE)=4,1.2,1.3))))*(1+IF(H25="",0,IF(H25&gt;1000,0.3,IF(H25&gt;500,0.2,IF(H25&gt;100,0.1,0)))))))</f>
        <v/>
      </c>
      <c r="O25" s="7">
        <f>IF(OR(L25="",M25="",N25=""),"",MIN(100,MAX(0,ROUND(L25*M25*N25,0))))</f>
        <v/>
      </c>
    </row>
    <row r="26">
      <c r="A26" s="9" t="n"/>
      <c r="B26" s="9" t="n"/>
      <c r="C26" s="9" t="n"/>
      <c r="D26" s="7">
        <f>IF(B26="","",VLOOKUP(B26,$Q$3:$U$14,2,FALSE))</f>
        <v/>
      </c>
      <c r="E26" s="7">
        <f>IF(B26="","",VLOOKUP(B26,$Q$3:$U$14,3,FALSE))</f>
        <v/>
      </c>
      <c r="F26" s="7" t="n"/>
      <c r="G26" s="7" t="n"/>
      <c r="H26" s="7" t="n"/>
      <c r="I26" s="7" t="n"/>
      <c r="J26" s="7">
        <f>IF(B26="","",VLOOKUP(B26,$Q$3:$U$14,4,FALSE))</f>
        <v/>
      </c>
      <c r="K26" s="7">
        <f>IF(OR(D26="",E26=""),"",IF(AND(D26="High",E26="High"),"Manage Closely",IF(AND(D26="High",E26="Medium"),"Keep Satisfied",IF(AND(D26="High",E26="Low"),"Keep Satisfied",IF(AND(D26="Medium",E26="High"),"Keep Informed",IF(AND(D26="Medium",E26="Medium"),"Keep Informed",IF(AND(D26="Medium",E26="Low"),"Monitor",IF(AND(D26="Low",E26="High"),"Keep Informed",IF(AND(D26="Low",E26="Medium"),"Monitor","Monitor")))))))))</f>
        <v/>
      </c>
      <c r="L26" s="7">
        <f>IF(OR(F26="",G26=""),"",(VLOOKUP(G26,$W$3:$X$8,2,FALSE)-VLOOKUP(F26,$W$3:$X$8,2,FALSE))*IF(D26="High",3,IF(D26="Medium",2,1))*6.67)</f>
        <v/>
      </c>
      <c r="M26" s="7">
        <f>IF(B26="","",IF(VLOOKUP(B26,$Q$3:$U$14,5,FALSE)&lt;=2,1,1-((IF(AND($B$4="Executive Sponsor",OR($F$4="Committed",$F$4="Advocating")),0.3,0))+(IF(AND($B$5="Senior Leadership",OR($F$5="Committed",$F$5="Advocating")),0.2,0)))))</f>
        <v/>
      </c>
      <c r="N26" s="7">
        <f>IF(B26="","",((IF(VLOOKUP(B26,$Q$3:$U$14,5,FALSE)&lt;=2,1,IF(VLOOKUP(B26,$Q$3:$U$14,5,FALSE)=3,1.1,IF(VLOOKUP(B26,$Q$3:$U$14,5,FALSE)=4,1.2,1.3))))*(1+IF(H26="",0,IF(H26&gt;1000,0.3,IF(H26&gt;500,0.2,IF(H26&gt;100,0.1,0)))))))</f>
        <v/>
      </c>
      <c r="O26" s="7">
        <f>IF(OR(L26="",M26="",N26=""),"",MIN(100,MAX(0,ROUND(L26*M26*N26,0))))</f>
        <v/>
      </c>
      <c r="Z26" s="4" t="inlineStr">
        <is>
          <t>THE BODY FALTERS</t>
        </is>
      </c>
    </row>
    <row r="27">
      <c r="A27" s="9" t="n"/>
      <c r="B27" s="9" t="n"/>
      <c r="C27" s="9" t="n"/>
      <c r="D27" s="7">
        <f>IF(B27="","",VLOOKUP(B27,$Q$3:$U$14,2,FALSE))</f>
        <v/>
      </c>
      <c r="E27" s="7">
        <f>IF(B27="","",VLOOKUP(B27,$Q$3:$U$14,3,FALSE))</f>
        <v/>
      </c>
      <c r="F27" s="7" t="n"/>
      <c r="G27" s="7" t="n"/>
      <c r="H27" s="7" t="n"/>
      <c r="I27" s="7" t="n"/>
      <c r="J27" s="7">
        <f>IF(B27="","",VLOOKUP(B27,$Q$3:$U$14,4,FALSE))</f>
        <v/>
      </c>
      <c r="K27" s="7">
        <f>IF(OR(D27="",E27=""),"",IF(AND(D27="High",E27="High"),"Manage Closely",IF(AND(D27="High",E27="Medium"),"Keep Satisfied",IF(AND(D27="High",E27="Low"),"Keep Satisfied",IF(AND(D27="Medium",E27="High"),"Keep Informed",IF(AND(D27="Medium",E27="Medium"),"Keep Informed",IF(AND(D27="Medium",E27="Low"),"Monitor",IF(AND(D27="Low",E27="High"),"Keep Informed",IF(AND(D27="Low",E27="Medium"),"Monitor","Monitor")))))))))</f>
        <v/>
      </c>
      <c r="L27" s="7">
        <f>IF(OR(F27="",G27=""),"",(VLOOKUP(G27,$W$3:$X$8,2,FALSE)-VLOOKUP(F27,$W$3:$X$8,2,FALSE))*IF(D27="High",3,IF(D27="Medium",2,1))*6.67)</f>
        <v/>
      </c>
      <c r="M27" s="7">
        <f>IF(B27="","",IF(VLOOKUP(B27,$Q$3:$U$14,5,FALSE)&lt;=2,1,1-((IF(AND($B$4="Executive Sponsor",OR($F$4="Committed",$F$4="Advocating")),0.3,0))+(IF(AND($B$5="Senior Leadership",OR($F$5="Committed",$F$5="Advocating")),0.2,0)))))</f>
        <v/>
      </c>
      <c r="N27" s="7">
        <f>IF(B27="","",((IF(VLOOKUP(B27,$Q$3:$U$14,5,FALSE)&lt;=2,1,IF(VLOOKUP(B27,$Q$3:$U$14,5,FALSE)=3,1.1,IF(VLOOKUP(B27,$Q$3:$U$14,5,FALSE)=4,1.2,1.3))))*(1+IF(H27="",0,IF(H27&gt;1000,0.3,IF(H27&gt;500,0.2,IF(H27&gt;100,0.1,0)))))))</f>
        <v/>
      </c>
      <c r="O27" s="7">
        <f>IF(OR(L27="",M27="",N27=""),"",MIN(100,MAX(0,ROUND(L27*M27*N27,0))))</f>
        <v/>
      </c>
      <c r="Z27" s="14" t="inlineStr">
        <is>
          <t>Even with willing leadership,</t>
        </is>
      </c>
    </row>
    <row r="28">
      <c r="A28" s="9" t="n"/>
      <c r="B28" s="9" t="n"/>
      <c r="C28" s="9" t="n"/>
      <c r="D28" s="7">
        <f>IF(B28="","",VLOOKUP(B28,$Q$3:$U$14,2,FALSE))</f>
        <v/>
      </c>
      <c r="E28" s="7">
        <f>IF(B28="","",VLOOKUP(B28,$Q$3:$U$14,3,FALSE))</f>
        <v/>
      </c>
      <c r="F28" s="7" t="n"/>
      <c r="G28" s="7" t="n"/>
      <c r="H28" s="7" t="n"/>
      <c r="I28" s="7" t="n"/>
      <c r="J28" s="7">
        <f>IF(B28="","",VLOOKUP(B28,$Q$3:$U$14,4,FALSE))</f>
        <v/>
      </c>
      <c r="K28" s="7">
        <f>IF(OR(D28="",E28=""),"",IF(AND(D28="High",E28="High"),"Manage Closely",IF(AND(D28="High",E28="Medium"),"Keep Satisfied",IF(AND(D28="High",E28="Low"),"Keep Satisfied",IF(AND(D28="Medium",E28="High"),"Keep Informed",IF(AND(D28="Medium",E28="Medium"),"Keep Informed",IF(AND(D28="Medium",E28="Low"),"Monitor",IF(AND(D28="Low",E28="High"),"Keep Informed",IF(AND(D28="Low",E28="Medium"),"Monitor","Monitor")))))))))</f>
        <v/>
      </c>
      <c r="L28" s="7">
        <f>IF(OR(F28="",G28=""),"",(VLOOKUP(G28,$W$3:$X$8,2,FALSE)-VLOOKUP(F28,$W$3:$X$8,2,FALSE))*IF(D28="High",3,IF(D28="Medium",2,1))*6.67)</f>
        <v/>
      </c>
      <c r="M28" s="7">
        <f>IF(B28="","",IF(VLOOKUP(B28,$Q$3:$U$14,5,FALSE)&lt;=2,1,1-((IF(AND($B$4="Executive Sponsor",OR($F$4="Committed",$F$4="Advocating")),0.3,0))+(IF(AND($B$5="Senior Leadership",OR($F$5="Committed",$F$5="Advocating")),0.2,0)))))</f>
        <v/>
      </c>
      <c r="N28" s="7">
        <f>IF(B28="","",((IF(VLOOKUP(B28,$Q$3:$U$14,5,FALSE)&lt;=2,1,IF(VLOOKUP(B28,$Q$3:$U$14,5,FALSE)=3,1.1,IF(VLOOKUP(B28,$Q$3:$U$14,5,FALSE)=4,1.2,1.3))))*(1+IF(H28="",0,IF(H28&gt;1000,0.3,IF(H28&gt;500,0.2,IF(H28&gt;100,0.1,0)))))))</f>
        <v/>
      </c>
      <c r="O28" s="7">
        <f>IF(OR(L28="",M28="",N28=""),"",MIN(100,MAX(0,ROUND(L28*M28*N28,0))))</f>
        <v/>
      </c>
      <c r="Z28" s="14" t="inlineStr">
        <is>
          <t>message dilutes as it travels</t>
        </is>
      </c>
    </row>
    <row r="29">
      <c r="A29" s="9" t="n"/>
      <c r="B29" s="9" t="n"/>
      <c r="C29" s="9" t="n"/>
      <c r="D29" s="7">
        <f>IF(B29="","",VLOOKUP(B29,$Q$3:$U$14,2,FALSE))</f>
        <v/>
      </c>
      <c r="E29" s="7">
        <f>IF(B29="","",VLOOKUP(B29,$Q$3:$U$14,3,FALSE))</f>
        <v/>
      </c>
      <c r="F29" s="7" t="n"/>
      <c r="G29" s="7" t="n"/>
      <c r="H29" s="7" t="n"/>
      <c r="I29" s="7" t="n"/>
      <c r="J29" s="7">
        <f>IF(B29="","",VLOOKUP(B29,$Q$3:$U$14,4,FALSE))</f>
        <v/>
      </c>
      <c r="K29" s="7">
        <f>IF(OR(D29="",E29=""),"",IF(AND(D29="High",E29="High"),"Manage Closely",IF(AND(D29="High",E29="Medium"),"Keep Satisfied",IF(AND(D29="High",E29="Low"),"Keep Satisfied",IF(AND(D29="Medium",E29="High"),"Keep Informed",IF(AND(D29="Medium",E29="Medium"),"Keep Informed",IF(AND(D29="Medium",E29="Low"),"Monitor",IF(AND(D29="Low",E29="High"),"Keep Informed",IF(AND(D29="Low",E29="Medium"),"Monitor","Monitor")))))))))</f>
        <v/>
      </c>
      <c r="L29" s="7">
        <f>IF(OR(F29="",G29=""),"",(VLOOKUP(G29,$W$3:$X$8,2,FALSE)-VLOOKUP(F29,$W$3:$X$8,2,FALSE))*IF(D29="High",3,IF(D29="Medium",2,1))*6.67)</f>
        <v/>
      </c>
      <c r="M29" s="7">
        <f>IF(B29="","",IF(VLOOKUP(B29,$Q$3:$U$14,5,FALSE)&lt;=2,1,1-((IF(AND($B$4="Executive Sponsor",OR($F$4="Committed",$F$4="Advocating")),0.3,0))+(IF(AND($B$5="Senior Leadership",OR($F$5="Committed",$F$5="Advocating")),0.2,0)))))</f>
        <v/>
      </c>
      <c r="N29" s="7">
        <f>IF(B29="","",((IF(VLOOKUP(B29,$Q$3:$U$14,5,FALSE)&lt;=2,1,IF(VLOOKUP(B29,$Q$3:$U$14,5,FALSE)=3,1.1,IF(VLOOKUP(B29,$Q$3:$U$14,5,FALSE)=4,1.2,1.3))))*(1+IF(H29="",0,IF(H29&gt;1000,0.3,IF(H29&gt;500,0.2,IF(H29&gt;100,0.1,0)))))))</f>
        <v/>
      </c>
      <c r="O29" s="7">
        <f>IF(OR(L29="",M29="",N29=""),"",MIN(100,MAX(0,ROUND(L29*M29*N29,0))))</f>
        <v/>
      </c>
      <c r="Z29" s="14" t="inlineStr">
        <is>
          <t>down through layers.</t>
        </is>
      </c>
    </row>
    <row r="30">
      <c r="A30" s="9" t="n"/>
      <c r="B30" s="9" t="n"/>
      <c r="C30" s="9" t="n"/>
      <c r="D30" s="7">
        <f>IF(B30="","",VLOOKUP(B30,$Q$3:$U$14,2,FALSE))</f>
        <v/>
      </c>
      <c r="E30" s="7">
        <f>IF(B30="","",VLOOKUP(B30,$Q$3:$U$14,3,FALSE))</f>
        <v/>
      </c>
      <c r="F30" s="7" t="n"/>
      <c r="G30" s="7" t="n"/>
      <c r="H30" s="7" t="n"/>
      <c r="I30" s="7" t="n"/>
      <c r="J30" s="7">
        <f>IF(B30="","",VLOOKUP(B30,$Q$3:$U$14,4,FALSE))</f>
        <v/>
      </c>
      <c r="K30" s="7">
        <f>IF(OR(D30="",E30=""),"",IF(AND(D30="High",E30="High"),"Manage Closely",IF(AND(D30="High",E30="Medium"),"Keep Satisfied",IF(AND(D30="High",E30="Low"),"Keep Satisfied",IF(AND(D30="Medium",E30="High"),"Keep Informed",IF(AND(D30="Medium",E30="Medium"),"Keep Informed",IF(AND(D30="Medium",E30="Low"),"Monitor",IF(AND(D30="Low",E30="High"),"Keep Informed",IF(AND(D30="Low",E30="Medium"),"Monitor","Monitor")))))))))</f>
        <v/>
      </c>
      <c r="L30" s="7">
        <f>IF(OR(F30="",G30=""),"",(VLOOKUP(G30,$W$3:$X$8,2,FALSE)-VLOOKUP(F30,$W$3:$X$8,2,FALSE))*IF(D30="High",3,IF(D30="Medium",2,1))*6.67)</f>
        <v/>
      </c>
      <c r="M30" s="7">
        <f>IF(B30="","",IF(VLOOKUP(B30,$Q$3:$U$14,5,FALSE)&lt;=2,1,1-((IF(AND($B$4="Executive Sponsor",OR($F$4="Committed",$F$4="Advocating")),0.3,0))+(IF(AND($B$5="Senior Leadership",OR($F$5="Committed",$F$5="Advocating")),0.2,0)))))</f>
        <v/>
      </c>
      <c r="N30" s="7">
        <f>IF(B30="","",((IF(VLOOKUP(B30,$Q$3:$U$14,5,FALSE)&lt;=2,1,IF(VLOOKUP(B30,$Q$3:$U$14,5,FALSE)=3,1.1,IF(VLOOKUP(B30,$Q$3:$U$14,5,FALSE)=4,1.2,1.3))))*(1+IF(H30="",0,IF(H30&gt;1000,0.3,IF(H30&gt;500,0.2,IF(H30&gt;100,0.1,0)))))))</f>
        <v/>
      </c>
      <c r="O30" s="7">
        <f>IF(OR(L30="",M30="",N30=""),"",MIN(100,MAX(0,ROUND(L30*M30*N30,0))))</f>
        <v/>
      </c>
      <c r="Z30" s="14" t="inlineStr"/>
    </row>
    <row r="31">
      <c r="A31" s="9" t="n"/>
      <c r="B31" s="9" t="n"/>
      <c r="C31" s="9" t="n"/>
      <c r="D31" s="7">
        <f>IF(B31="","",VLOOKUP(B31,$Q$3:$U$14,2,FALSE))</f>
        <v/>
      </c>
      <c r="E31" s="7">
        <f>IF(B31="","",VLOOKUP(B31,$Q$3:$U$14,3,FALSE))</f>
        <v/>
      </c>
      <c r="F31" s="7" t="n"/>
      <c r="G31" s="7" t="n"/>
      <c r="H31" s="7" t="n"/>
      <c r="I31" s="7" t="n"/>
      <c r="J31" s="7">
        <f>IF(B31="","",VLOOKUP(B31,$Q$3:$U$14,4,FALSE))</f>
        <v/>
      </c>
      <c r="K31" s="7">
        <f>IF(OR(D31="",E31=""),"",IF(AND(D31="High",E31="High"),"Manage Closely",IF(AND(D31="High",E31="Medium"),"Keep Satisfied",IF(AND(D31="High",E31="Low"),"Keep Satisfied",IF(AND(D31="Medium",E31="High"),"Keep Informed",IF(AND(D31="Medium",E31="Medium"),"Keep Informed",IF(AND(D31="Medium",E31="Low"),"Monitor",IF(AND(D31="Low",E31="High"),"Keep Informed",IF(AND(D31="Low",E31="Medium"),"Monitor","Monitor")))))))))</f>
        <v/>
      </c>
      <c r="L31" s="7">
        <f>IF(OR(F31="",G31=""),"",(VLOOKUP(G31,$W$3:$X$8,2,FALSE)-VLOOKUP(F31,$W$3:$X$8,2,FALSE))*IF(D31="High",3,IF(D31="Medium",2,1))*6.67)</f>
        <v/>
      </c>
      <c r="M31" s="7">
        <f>IF(B31="","",IF(VLOOKUP(B31,$Q$3:$U$14,5,FALSE)&lt;=2,1,1-((IF(AND($B$4="Executive Sponsor",OR($F$4="Committed",$F$4="Advocating")),0.3,0))+(IF(AND($B$5="Senior Leadership",OR($F$5="Committed",$F$5="Advocating")),0.2,0)))))</f>
        <v/>
      </c>
      <c r="N31" s="7">
        <f>IF(B31="","",((IF(VLOOKUP(B31,$Q$3:$U$14,5,FALSE)&lt;=2,1,IF(VLOOKUP(B31,$Q$3:$U$14,5,FALSE)=3,1.1,IF(VLOOKUP(B31,$Q$3:$U$14,5,FALSE)=4,1.2,1.3))))*(1+IF(H31="",0,IF(H31&gt;1000,0.3,IF(H31&gt;500,0.2,IF(H31&gt;100,0.1,0)))))))</f>
        <v/>
      </c>
      <c r="O31" s="7">
        <f>IF(OR(L31="",M31="",N31=""),"",MIN(100,MAX(0,ROUND(L31*M31*N31,0))))</f>
        <v/>
      </c>
      <c r="Z31" s="14" t="inlineStr">
        <is>
          <t>Adjusted Risk = Base Risk</t>
        </is>
      </c>
    </row>
    <row r="32">
      <c r="A32" s="9" t="n"/>
      <c r="B32" s="9" t="n"/>
      <c r="C32" s="9" t="n"/>
      <c r="D32" s="7">
        <f>IF(B32="","",VLOOKUP(B32,$Q$3:$U$14,2,FALSE))</f>
        <v/>
      </c>
      <c r="E32" s="7">
        <f>IF(B32="","",VLOOKUP(B32,$Q$3:$U$14,3,FALSE))</f>
        <v/>
      </c>
      <c r="F32" s="7" t="n"/>
      <c r="G32" s="7" t="n"/>
      <c r="H32" s="7" t="n"/>
      <c r="I32" s="7" t="n"/>
      <c r="J32" s="7">
        <f>IF(B32="","",VLOOKUP(B32,$Q$3:$U$14,4,FALSE))</f>
        <v/>
      </c>
      <c r="K32" s="7">
        <f>IF(OR(D32="",E32=""),"",IF(AND(D32="High",E32="High"),"Manage Closely",IF(AND(D32="High",E32="Medium"),"Keep Satisfied",IF(AND(D32="High",E32="Low"),"Keep Satisfied",IF(AND(D32="Medium",E32="High"),"Keep Informed",IF(AND(D32="Medium",E32="Medium"),"Keep Informed",IF(AND(D32="Medium",E32="Low"),"Monitor",IF(AND(D32="Low",E32="High"),"Keep Informed",IF(AND(D32="Low",E32="Medium"),"Monitor","Monitor")))))))))</f>
        <v/>
      </c>
      <c r="L32" s="7">
        <f>IF(OR(F32="",G32=""),"",(VLOOKUP(G32,$W$3:$X$8,2,FALSE)-VLOOKUP(F32,$W$3:$X$8,2,FALSE))*IF(D32="High",3,IF(D32="Medium",2,1))*6.67)</f>
        <v/>
      </c>
      <c r="M32" s="7">
        <f>IF(B32="","",IF(VLOOKUP(B32,$Q$3:$U$14,5,FALSE)&lt;=2,1,1-((IF(AND($B$4="Executive Sponsor",OR($F$4="Committed",$F$4="Advocating")),0.3,0))+(IF(AND($B$5="Senior Leadership",OR($F$5="Committed",$F$5="Advocating")),0.2,0)))))</f>
        <v/>
      </c>
      <c r="N32" s="7">
        <f>IF(B32="","",((IF(VLOOKUP(B32,$Q$3:$U$14,5,FALSE)&lt;=2,1,IF(VLOOKUP(B32,$Q$3:$U$14,5,FALSE)=3,1.1,IF(VLOOKUP(B32,$Q$3:$U$14,5,FALSE)=4,1.2,1.3))))*(1+IF(H32="",0,IF(H32&gt;1000,0.3,IF(H32&gt;500,0.2,IF(H32&gt;100,0.1,0)))))))</f>
        <v/>
      </c>
      <c r="O32" s="7">
        <f>IF(OR(L32="",M32="",N32=""),"",MIN(100,MAX(0,ROUND(L32*M32*N32,0))))</f>
        <v/>
      </c>
      <c r="Z32" s="14" t="inlineStr">
        <is>
          <t xml:space="preserve">  x Cascade Factor</t>
        </is>
      </c>
    </row>
    <row r="33">
      <c r="A33" s="9" t="n"/>
      <c r="B33" s="9" t="n"/>
      <c r="C33" s="9" t="n"/>
      <c r="D33" s="7">
        <f>IF(B33="","",VLOOKUP(B33,$Q$3:$U$14,2,FALSE))</f>
        <v/>
      </c>
      <c r="E33" s="7">
        <f>IF(B33="","",VLOOKUP(B33,$Q$3:$U$14,3,FALSE))</f>
        <v/>
      </c>
      <c r="F33" s="7" t="n"/>
      <c r="G33" s="7" t="n"/>
      <c r="H33" s="7" t="n"/>
      <c r="I33" s="7" t="n"/>
      <c r="J33" s="7">
        <f>IF(B33="","",VLOOKUP(B33,$Q$3:$U$14,4,FALSE))</f>
        <v/>
      </c>
      <c r="K33" s="7">
        <f>IF(OR(D33="",E33=""),"",IF(AND(D33="High",E33="High"),"Manage Closely",IF(AND(D33="High",E33="Medium"),"Keep Satisfied",IF(AND(D33="High",E33="Low"),"Keep Satisfied",IF(AND(D33="Medium",E33="High"),"Keep Informed",IF(AND(D33="Medium",E33="Medium"),"Keep Informed",IF(AND(D33="Medium",E33="Low"),"Monitor",IF(AND(D33="Low",E33="High"),"Keep Informed",IF(AND(D33="Low",E33="Medium"),"Monitor","Monitor")))))))))</f>
        <v/>
      </c>
      <c r="L33" s="7">
        <f>IF(OR(F33="",G33=""),"",(VLOOKUP(G33,$W$3:$X$8,2,FALSE)-VLOOKUP(F33,$W$3:$X$8,2,FALSE))*IF(D33="High",3,IF(D33="Medium",2,1))*6.67)</f>
        <v/>
      </c>
      <c r="M33" s="7">
        <f>IF(B33="","",IF(VLOOKUP(B33,$Q$3:$U$14,5,FALSE)&lt;=2,1,1-((IF(AND($B$4="Executive Sponsor",OR($F$4="Committed",$F$4="Advocating")),0.3,0))+(IF(AND($B$5="Senior Leadership",OR($F$5="Committed",$F$5="Advocating")),0.2,0)))))</f>
        <v/>
      </c>
      <c r="N33" s="7">
        <f>IF(B33="","",((IF(VLOOKUP(B33,$Q$3:$U$14,5,FALSE)&lt;=2,1,IF(VLOOKUP(B33,$Q$3:$U$14,5,FALSE)=3,1.1,IF(VLOOKUP(B33,$Q$3:$U$14,5,FALSE)=4,1.2,1.3))))*(1+IF(H33="",0,IF(H33&gt;1000,0.3,IF(H33&gt;500,0.2,IF(H33&gt;100,0.1,0)))))))</f>
        <v/>
      </c>
      <c r="O33" s="7">
        <f>IF(OR(L33="",M33="",N33=""),"",MIN(100,MAX(0,ROUND(L33*M33*N33,0))))</f>
        <v/>
      </c>
      <c r="Z33" s="14" t="inlineStr">
        <is>
          <t xml:space="preserve">  x Depth Penalty</t>
        </is>
      </c>
    </row>
    <row r="34">
      <c r="A34" s="9" t="n"/>
      <c r="B34" s="9" t="n"/>
      <c r="C34" s="9" t="n"/>
      <c r="D34" s="7">
        <f>IF(B34="","",VLOOKUP(B34,$Q$3:$U$14,2,FALSE))</f>
        <v/>
      </c>
      <c r="E34" s="7">
        <f>IF(B34="","",VLOOKUP(B34,$Q$3:$U$14,3,FALSE))</f>
        <v/>
      </c>
      <c r="F34" s="7" t="n"/>
      <c r="G34" s="7" t="n"/>
      <c r="H34" s="7" t="n"/>
      <c r="I34" s="7" t="n"/>
      <c r="J34" s="7">
        <f>IF(B34="","",VLOOKUP(B34,$Q$3:$U$14,4,FALSE))</f>
        <v/>
      </c>
      <c r="K34" s="7">
        <f>IF(OR(D34="",E34=""),"",IF(AND(D34="High",E34="High"),"Manage Closely",IF(AND(D34="High",E34="Medium"),"Keep Satisfied",IF(AND(D34="High",E34="Low"),"Keep Satisfied",IF(AND(D34="Medium",E34="High"),"Keep Informed",IF(AND(D34="Medium",E34="Medium"),"Keep Informed",IF(AND(D34="Medium",E34="Low"),"Monitor",IF(AND(D34="Low",E34="High"),"Keep Informed",IF(AND(D34="Low",E34="Medium"),"Monitor","Monitor")))))))))</f>
        <v/>
      </c>
      <c r="L34" s="7">
        <f>IF(OR(F34="",G34=""),"",(VLOOKUP(G34,$W$3:$X$8,2,FALSE)-VLOOKUP(F34,$W$3:$X$8,2,FALSE))*IF(D34="High",3,IF(D34="Medium",2,1))*6.67)</f>
        <v/>
      </c>
      <c r="M34" s="7">
        <f>IF(B34="","",IF(VLOOKUP(B34,$Q$3:$U$14,5,FALSE)&lt;=2,1,1-((IF(AND($B$4="Executive Sponsor",OR($F$4="Committed",$F$4="Advocating")),0.3,0))+(IF(AND($B$5="Senior Leadership",OR($F$5="Committed",$F$5="Advocating")),0.2,0)))))</f>
        <v/>
      </c>
      <c r="N34" s="7">
        <f>IF(B34="","",((IF(VLOOKUP(B34,$Q$3:$U$14,5,FALSE)&lt;=2,1,IF(VLOOKUP(B34,$Q$3:$U$14,5,FALSE)=3,1.1,IF(VLOOKUP(B34,$Q$3:$U$14,5,FALSE)=4,1.2,1.3))))*(1+IF(H34="",0,IF(H34&gt;1000,0.3,IF(H34&gt;500,0.2,IF(H34&gt;100,0.1,0)))))))</f>
        <v/>
      </c>
      <c r="O34" s="7">
        <f>IF(OR(L34="",M34="",N34=""),"",MIN(100,MAX(0,ROUND(L34*M34*N34,0))))</f>
        <v/>
      </c>
    </row>
    <row r="35">
      <c r="A35" s="9" t="n"/>
      <c r="B35" s="9" t="n"/>
      <c r="C35" s="9" t="n"/>
      <c r="D35" s="7">
        <f>IF(B35="","",VLOOKUP(B35,$Q$3:$U$14,2,FALSE))</f>
        <v/>
      </c>
      <c r="E35" s="7">
        <f>IF(B35="","",VLOOKUP(B35,$Q$3:$U$14,3,FALSE))</f>
        <v/>
      </c>
      <c r="F35" s="7" t="n"/>
      <c r="G35" s="7" t="n"/>
      <c r="H35" s="7" t="n"/>
      <c r="I35" s="7" t="n"/>
      <c r="J35" s="7">
        <f>IF(B35="","",VLOOKUP(B35,$Q$3:$U$14,4,FALSE))</f>
        <v/>
      </c>
      <c r="K35" s="7">
        <f>IF(OR(D35="",E35=""),"",IF(AND(D35="High",E35="High"),"Manage Closely",IF(AND(D35="High",E35="Medium"),"Keep Satisfied",IF(AND(D35="High",E35="Low"),"Keep Satisfied",IF(AND(D35="Medium",E35="High"),"Keep Informed",IF(AND(D35="Medium",E35="Medium"),"Keep Informed",IF(AND(D35="Medium",E35="Low"),"Monitor",IF(AND(D35="Low",E35="High"),"Keep Informed",IF(AND(D35="Low",E35="Medium"),"Monitor","Monitor")))))))))</f>
        <v/>
      </c>
      <c r="L35" s="7">
        <f>IF(OR(F35="",G35=""),"",(VLOOKUP(G35,$W$3:$X$8,2,FALSE)-VLOOKUP(F35,$W$3:$X$8,2,FALSE))*IF(D35="High",3,IF(D35="Medium",2,1))*6.67)</f>
        <v/>
      </c>
      <c r="M35" s="7">
        <f>IF(B35="","",IF(VLOOKUP(B35,$Q$3:$U$14,5,FALSE)&lt;=2,1,1-((IF(AND($B$4="Executive Sponsor",OR($F$4="Committed",$F$4="Advocating")),0.3,0))+(IF(AND($B$5="Senior Leadership",OR($F$5="Committed",$F$5="Advocating")),0.2,0)))))</f>
        <v/>
      </c>
      <c r="N35" s="7">
        <f>IF(B35="","",((IF(VLOOKUP(B35,$Q$3:$U$14,5,FALSE)&lt;=2,1,IF(VLOOKUP(B35,$Q$3:$U$14,5,FALSE)=3,1.1,IF(VLOOKUP(B35,$Q$3:$U$14,5,FALSE)=4,1.2,1.3))))*(1+IF(H35="",0,IF(H35&gt;1000,0.3,IF(H35&gt;500,0.2,IF(H35&gt;100,0.1,0)))))))</f>
        <v/>
      </c>
      <c r="O35" s="7">
        <f>IF(OR(L35="",M35="",N35=""),"",MIN(100,MAX(0,ROUND(L35*M35*N35,0))))</f>
        <v/>
      </c>
    </row>
    <row r="36">
      <c r="A36" s="9" t="n"/>
      <c r="B36" s="9" t="n"/>
      <c r="C36" s="9" t="n"/>
      <c r="D36" s="7">
        <f>IF(B36="","",VLOOKUP(B36,$Q$3:$U$14,2,FALSE))</f>
        <v/>
      </c>
      <c r="E36" s="7">
        <f>IF(B36="","",VLOOKUP(B36,$Q$3:$U$14,3,FALSE))</f>
        <v/>
      </c>
      <c r="F36" s="7" t="n"/>
      <c r="G36" s="7" t="n"/>
      <c r="H36" s="7" t="n"/>
      <c r="I36" s="7" t="n"/>
      <c r="J36" s="7">
        <f>IF(B36="","",VLOOKUP(B36,$Q$3:$U$14,4,FALSE))</f>
        <v/>
      </c>
      <c r="K36" s="7">
        <f>IF(OR(D36="",E36=""),"",IF(AND(D36="High",E36="High"),"Manage Closely",IF(AND(D36="High",E36="Medium"),"Keep Satisfied",IF(AND(D36="High",E36="Low"),"Keep Satisfied",IF(AND(D36="Medium",E36="High"),"Keep Informed",IF(AND(D36="Medium",E36="Medium"),"Keep Informed",IF(AND(D36="Medium",E36="Low"),"Monitor",IF(AND(D36="Low",E36="High"),"Keep Informed",IF(AND(D36="Low",E36="Medium"),"Monitor","Monitor")))))))))</f>
        <v/>
      </c>
      <c r="L36" s="7">
        <f>IF(OR(F36="",G36=""),"",(VLOOKUP(G36,$W$3:$X$8,2,FALSE)-VLOOKUP(F36,$W$3:$X$8,2,FALSE))*IF(D36="High",3,IF(D36="Medium",2,1))*6.67)</f>
        <v/>
      </c>
      <c r="M36" s="7">
        <f>IF(B36="","",IF(VLOOKUP(B36,$Q$3:$U$14,5,FALSE)&lt;=2,1,1-((IF(AND($B$4="Executive Sponsor",OR($F$4="Committed",$F$4="Advocating")),0.3,0))+(IF(AND($B$5="Senior Leadership",OR($F$5="Committed",$F$5="Advocating")),0.2,0)))))</f>
        <v/>
      </c>
      <c r="N36" s="7">
        <f>IF(B36="","",((IF(VLOOKUP(B36,$Q$3:$U$14,5,FALSE)&lt;=2,1,IF(VLOOKUP(B36,$Q$3:$U$14,5,FALSE)=3,1.1,IF(VLOOKUP(B36,$Q$3:$U$14,5,FALSE)=4,1.2,1.3))))*(1+IF(H36="",0,IF(H36&gt;1000,0.3,IF(H36&gt;500,0.2,IF(H36&gt;100,0.1,0)))))))</f>
        <v/>
      </c>
      <c r="O36" s="7">
        <f>IF(OR(L36="",M36="",N36=""),"",MIN(100,MAX(0,ROUND(L36*M36*N36,0))))</f>
        <v/>
      </c>
    </row>
    <row r="37">
      <c r="A37" s="9" t="n"/>
      <c r="B37" s="9" t="n"/>
      <c r="C37" s="9" t="n"/>
      <c r="D37" s="7">
        <f>IF(B37="","",VLOOKUP(B37,$Q$3:$U$14,2,FALSE))</f>
        <v/>
      </c>
      <c r="E37" s="7">
        <f>IF(B37="","",VLOOKUP(B37,$Q$3:$U$14,3,FALSE))</f>
        <v/>
      </c>
      <c r="F37" s="7" t="n"/>
      <c r="G37" s="7" t="n"/>
      <c r="H37" s="7" t="n"/>
      <c r="I37" s="7" t="n"/>
      <c r="J37" s="7">
        <f>IF(B37="","",VLOOKUP(B37,$Q$3:$U$14,4,FALSE))</f>
        <v/>
      </c>
      <c r="K37" s="7">
        <f>IF(OR(D37="",E37=""),"",IF(AND(D37="High",E37="High"),"Manage Closely",IF(AND(D37="High",E37="Medium"),"Keep Satisfied",IF(AND(D37="High",E37="Low"),"Keep Satisfied",IF(AND(D37="Medium",E37="High"),"Keep Informed",IF(AND(D37="Medium",E37="Medium"),"Keep Informed",IF(AND(D37="Medium",E37="Low"),"Monitor",IF(AND(D37="Low",E37="High"),"Keep Informed",IF(AND(D37="Low",E37="Medium"),"Monitor","Monitor")))))))))</f>
        <v/>
      </c>
      <c r="L37" s="7">
        <f>IF(OR(F37="",G37=""),"",(VLOOKUP(G37,$W$3:$X$8,2,FALSE)-VLOOKUP(F37,$W$3:$X$8,2,FALSE))*IF(D37="High",3,IF(D37="Medium",2,1))*6.67)</f>
        <v/>
      </c>
      <c r="M37" s="7">
        <f>IF(B37="","",IF(VLOOKUP(B37,$Q$3:$U$14,5,FALSE)&lt;=2,1,1-((IF(AND($B$4="Executive Sponsor",OR($F$4="Committed",$F$4="Advocating")),0.3,0))+(IF(AND($B$5="Senior Leadership",OR($F$5="Committed",$F$5="Advocating")),0.2,0)))))</f>
        <v/>
      </c>
      <c r="N37" s="7">
        <f>IF(B37="","",((IF(VLOOKUP(B37,$Q$3:$U$14,5,FALSE)&lt;=2,1,IF(VLOOKUP(B37,$Q$3:$U$14,5,FALSE)=3,1.1,IF(VLOOKUP(B37,$Q$3:$U$14,5,FALSE)=4,1.2,1.3))))*(1+IF(H37="",0,IF(H37&gt;1000,0.3,IF(H37&gt;500,0.2,IF(H37&gt;100,0.1,0)))))))</f>
        <v/>
      </c>
      <c r="O37" s="7">
        <f>IF(OR(L37="",M37="",N37=""),"",MIN(100,MAX(0,ROUND(L37*M37*N37,0))))</f>
        <v/>
      </c>
    </row>
    <row r="38">
      <c r="A38" s="9" t="n"/>
      <c r="B38" s="9" t="n"/>
      <c r="C38" s="9" t="n"/>
      <c r="D38" s="7">
        <f>IF(B38="","",VLOOKUP(B38,$Q$3:$U$14,2,FALSE))</f>
        <v/>
      </c>
      <c r="E38" s="7">
        <f>IF(B38="","",VLOOKUP(B38,$Q$3:$U$14,3,FALSE))</f>
        <v/>
      </c>
      <c r="F38" s="7" t="n"/>
      <c r="G38" s="7" t="n"/>
      <c r="H38" s="7" t="n"/>
      <c r="I38" s="7" t="n"/>
      <c r="J38" s="7">
        <f>IF(B38="","",VLOOKUP(B38,$Q$3:$U$14,4,FALSE))</f>
        <v/>
      </c>
      <c r="K38" s="7">
        <f>IF(OR(D38="",E38=""),"",IF(AND(D38="High",E38="High"),"Manage Closely",IF(AND(D38="High",E38="Medium"),"Keep Satisfied",IF(AND(D38="High",E38="Low"),"Keep Satisfied",IF(AND(D38="Medium",E38="High"),"Keep Informed",IF(AND(D38="Medium",E38="Medium"),"Keep Informed",IF(AND(D38="Medium",E38="Low"),"Monitor",IF(AND(D38="Low",E38="High"),"Keep Informed",IF(AND(D38="Low",E38="Medium"),"Monitor","Monitor")))))))))</f>
        <v/>
      </c>
      <c r="L38" s="7">
        <f>IF(OR(F38="",G38=""),"",(VLOOKUP(G38,$W$3:$X$8,2,FALSE)-VLOOKUP(F38,$W$3:$X$8,2,FALSE))*IF(D38="High",3,IF(D38="Medium",2,1))*6.67)</f>
        <v/>
      </c>
      <c r="M38" s="7">
        <f>IF(B38="","",IF(VLOOKUP(B38,$Q$3:$U$14,5,FALSE)&lt;=2,1,1-((IF(AND($B$4="Executive Sponsor",OR($F$4="Committed",$F$4="Advocating")),0.3,0))+(IF(AND($B$5="Senior Leadership",OR($F$5="Committed",$F$5="Advocating")),0.2,0)))))</f>
        <v/>
      </c>
      <c r="N38" s="7">
        <f>IF(B38="","",((IF(VLOOKUP(B38,$Q$3:$U$14,5,FALSE)&lt;=2,1,IF(VLOOKUP(B38,$Q$3:$U$14,5,FALSE)=3,1.1,IF(VLOOKUP(B38,$Q$3:$U$14,5,FALSE)=4,1.2,1.3))))*(1+IF(H38="",0,IF(H38&gt;1000,0.3,IF(H38&gt;500,0.2,IF(H38&gt;100,0.1,0)))))))</f>
        <v/>
      </c>
      <c r="O38" s="7">
        <f>IF(OR(L38="",M38="",N38=""),"",MIN(100,MAX(0,ROUND(L38*M38*N38,0))))</f>
        <v/>
      </c>
    </row>
    <row r="39">
      <c r="A39" s="9" t="n"/>
      <c r="B39" s="9" t="n"/>
      <c r="C39" s="9" t="n"/>
      <c r="D39" s="7">
        <f>IF(B39="","",VLOOKUP(B39,$Q$3:$U$14,2,FALSE))</f>
        <v/>
      </c>
      <c r="E39" s="7">
        <f>IF(B39="","",VLOOKUP(B39,$Q$3:$U$14,3,FALSE))</f>
        <v/>
      </c>
      <c r="F39" s="7" t="n"/>
      <c r="G39" s="7" t="n"/>
      <c r="H39" s="7" t="n"/>
      <c r="I39" s="7" t="n"/>
      <c r="J39" s="7">
        <f>IF(B39="","",VLOOKUP(B39,$Q$3:$U$14,4,FALSE))</f>
        <v/>
      </c>
      <c r="K39" s="7">
        <f>IF(OR(D39="",E39=""),"",IF(AND(D39="High",E39="High"),"Manage Closely",IF(AND(D39="High",E39="Medium"),"Keep Satisfied",IF(AND(D39="High",E39="Low"),"Keep Satisfied",IF(AND(D39="Medium",E39="High"),"Keep Informed",IF(AND(D39="Medium",E39="Medium"),"Keep Informed",IF(AND(D39="Medium",E39="Low"),"Monitor",IF(AND(D39="Low",E39="High"),"Keep Informed",IF(AND(D39="Low",E39="Medium"),"Monitor","Monitor")))))))))</f>
        <v/>
      </c>
      <c r="L39" s="7">
        <f>IF(OR(F39="",G39=""),"",(VLOOKUP(G39,$W$3:$X$8,2,FALSE)-VLOOKUP(F39,$W$3:$X$8,2,FALSE))*IF(D39="High",3,IF(D39="Medium",2,1))*6.67)</f>
        <v/>
      </c>
      <c r="M39" s="7">
        <f>IF(B39="","",IF(VLOOKUP(B39,$Q$3:$U$14,5,FALSE)&lt;=2,1,1-((IF(AND($B$4="Executive Sponsor",OR($F$4="Committed",$F$4="Advocating")),0.3,0))+(IF(AND($B$5="Senior Leadership",OR($F$5="Committed",$F$5="Advocating")),0.2,0)))))</f>
        <v/>
      </c>
      <c r="N39" s="7">
        <f>IF(B39="","",((IF(VLOOKUP(B39,$Q$3:$U$14,5,FALSE)&lt;=2,1,IF(VLOOKUP(B39,$Q$3:$U$14,5,FALSE)=3,1.1,IF(VLOOKUP(B39,$Q$3:$U$14,5,FALSE)=4,1.2,1.3))))*(1+IF(H39="",0,IF(H39&gt;1000,0.3,IF(H39&gt;500,0.2,IF(H39&gt;100,0.1,0)))))))</f>
        <v/>
      </c>
      <c r="O39" s="7">
        <f>IF(OR(L39="",M39="",N39=""),"",MIN(100,MAX(0,ROUND(L39*M39*N39,0))))</f>
        <v/>
      </c>
    </row>
    <row r="40">
      <c r="A40" s="9" t="n"/>
      <c r="B40" s="9" t="n"/>
      <c r="C40" s="9" t="n"/>
      <c r="D40" s="7">
        <f>IF(B40="","",VLOOKUP(B40,$Q$3:$U$14,2,FALSE))</f>
        <v/>
      </c>
      <c r="E40" s="7">
        <f>IF(B40="","",VLOOKUP(B40,$Q$3:$U$14,3,FALSE))</f>
        <v/>
      </c>
      <c r="F40" s="7" t="n"/>
      <c r="G40" s="7" t="n"/>
      <c r="H40" s="7" t="n"/>
      <c r="I40" s="7" t="n"/>
      <c r="J40" s="7">
        <f>IF(B40="","",VLOOKUP(B40,$Q$3:$U$14,4,FALSE))</f>
        <v/>
      </c>
      <c r="K40" s="7">
        <f>IF(OR(D40="",E40=""),"",IF(AND(D40="High",E40="High"),"Manage Closely",IF(AND(D40="High",E40="Medium"),"Keep Satisfied",IF(AND(D40="High",E40="Low"),"Keep Satisfied",IF(AND(D40="Medium",E40="High"),"Keep Informed",IF(AND(D40="Medium",E40="Medium"),"Keep Informed",IF(AND(D40="Medium",E40="Low"),"Monitor",IF(AND(D40="Low",E40="High"),"Keep Informed",IF(AND(D40="Low",E40="Medium"),"Monitor","Monitor")))))))))</f>
        <v/>
      </c>
      <c r="L40" s="7">
        <f>IF(OR(F40="",G40=""),"",(VLOOKUP(G40,$W$3:$X$8,2,FALSE)-VLOOKUP(F40,$W$3:$X$8,2,FALSE))*IF(D40="High",3,IF(D40="Medium",2,1))*6.67)</f>
        <v/>
      </c>
      <c r="M40" s="7">
        <f>IF(B40="","",IF(VLOOKUP(B40,$Q$3:$U$14,5,FALSE)&lt;=2,1,1-((IF(AND($B$4="Executive Sponsor",OR($F$4="Committed",$F$4="Advocating")),0.3,0))+(IF(AND($B$5="Senior Leadership",OR($F$5="Committed",$F$5="Advocating")),0.2,0)))))</f>
        <v/>
      </c>
      <c r="N40" s="7">
        <f>IF(B40="","",((IF(VLOOKUP(B40,$Q$3:$U$14,5,FALSE)&lt;=2,1,IF(VLOOKUP(B40,$Q$3:$U$14,5,FALSE)=3,1.1,IF(VLOOKUP(B40,$Q$3:$U$14,5,FALSE)=4,1.2,1.3))))*(1+IF(H40="",0,IF(H40&gt;1000,0.3,IF(H40&gt;500,0.2,IF(H40&gt;100,0.1,0)))))))</f>
        <v/>
      </c>
      <c r="O40" s="7">
        <f>IF(OR(L40="",M40="",N40=""),"",MIN(100,MAX(0,ROUND(L40*M40*N40,0))))</f>
        <v/>
      </c>
    </row>
    <row r="41">
      <c r="A41" s="9" t="n"/>
      <c r="B41" s="9" t="n"/>
      <c r="C41" s="9" t="n"/>
      <c r="D41" s="7">
        <f>IF(B41="","",VLOOKUP(B41,$Q$3:$U$14,2,FALSE))</f>
        <v/>
      </c>
      <c r="E41" s="7">
        <f>IF(B41="","",VLOOKUP(B41,$Q$3:$U$14,3,FALSE))</f>
        <v/>
      </c>
      <c r="F41" s="7" t="n"/>
      <c r="G41" s="7" t="n"/>
      <c r="H41" s="7" t="n"/>
      <c r="I41" s="7" t="n"/>
      <c r="J41" s="7">
        <f>IF(B41="","",VLOOKUP(B41,$Q$3:$U$14,4,FALSE))</f>
        <v/>
      </c>
      <c r="K41" s="7">
        <f>IF(OR(D41="",E41=""),"",IF(AND(D41="High",E41="High"),"Manage Closely",IF(AND(D41="High",E41="Medium"),"Keep Satisfied",IF(AND(D41="High",E41="Low"),"Keep Satisfied",IF(AND(D41="Medium",E41="High"),"Keep Informed",IF(AND(D41="Medium",E41="Medium"),"Keep Informed",IF(AND(D41="Medium",E41="Low"),"Monitor",IF(AND(D41="Low",E41="High"),"Keep Informed",IF(AND(D41="Low",E41="Medium"),"Monitor","Monitor")))))))))</f>
        <v/>
      </c>
      <c r="L41" s="7">
        <f>IF(OR(F41="",G41=""),"",(VLOOKUP(G41,$W$3:$X$8,2,FALSE)-VLOOKUP(F41,$W$3:$X$8,2,FALSE))*IF(D41="High",3,IF(D41="Medium",2,1))*6.67)</f>
        <v/>
      </c>
      <c r="M41" s="7">
        <f>IF(B41="","",IF(VLOOKUP(B41,$Q$3:$U$14,5,FALSE)&lt;=2,1,1-((IF(AND($B$4="Executive Sponsor",OR($F$4="Committed",$F$4="Advocating")),0.3,0))+(IF(AND($B$5="Senior Leadership",OR($F$5="Committed",$F$5="Advocating")),0.2,0)))))</f>
        <v/>
      </c>
      <c r="N41" s="7">
        <f>IF(B41="","",((IF(VLOOKUP(B41,$Q$3:$U$14,5,FALSE)&lt;=2,1,IF(VLOOKUP(B41,$Q$3:$U$14,5,FALSE)=3,1.1,IF(VLOOKUP(B41,$Q$3:$U$14,5,FALSE)=4,1.2,1.3))))*(1+IF(H41="",0,IF(H41&gt;1000,0.3,IF(H41&gt;500,0.2,IF(H41&gt;100,0.1,0)))))))</f>
        <v/>
      </c>
      <c r="O41" s="7">
        <f>IF(OR(L41="",M41="",N41=""),"",MIN(100,MAX(0,ROUND(L41*M41*N41,0))))</f>
        <v/>
      </c>
    </row>
    <row r="42">
      <c r="A42" s="9" t="n"/>
      <c r="B42" s="9" t="n"/>
      <c r="C42" s="9" t="n"/>
      <c r="D42" s="7">
        <f>IF(B42="","",VLOOKUP(B42,$Q$3:$U$14,2,FALSE))</f>
        <v/>
      </c>
      <c r="E42" s="7">
        <f>IF(B42="","",VLOOKUP(B42,$Q$3:$U$14,3,FALSE))</f>
        <v/>
      </c>
      <c r="F42" s="7" t="n"/>
      <c r="G42" s="7" t="n"/>
      <c r="H42" s="7" t="n"/>
      <c r="I42" s="7" t="n"/>
      <c r="J42" s="7">
        <f>IF(B42="","",VLOOKUP(B42,$Q$3:$U$14,4,FALSE))</f>
        <v/>
      </c>
      <c r="K42" s="7">
        <f>IF(OR(D42="",E42=""),"",IF(AND(D42="High",E42="High"),"Manage Closely",IF(AND(D42="High",E42="Medium"),"Keep Satisfied",IF(AND(D42="High",E42="Low"),"Keep Satisfied",IF(AND(D42="Medium",E42="High"),"Keep Informed",IF(AND(D42="Medium",E42="Medium"),"Keep Informed",IF(AND(D42="Medium",E42="Low"),"Monitor",IF(AND(D42="Low",E42="High"),"Keep Informed",IF(AND(D42="Low",E42="Medium"),"Monitor","Monitor")))))))))</f>
        <v/>
      </c>
      <c r="L42" s="7">
        <f>IF(OR(F42="",G42=""),"",(VLOOKUP(G42,$W$3:$X$8,2,FALSE)-VLOOKUP(F42,$W$3:$X$8,2,FALSE))*IF(D42="High",3,IF(D42="Medium",2,1))*6.67)</f>
        <v/>
      </c>
      <c r="M42" s="7">
        <f>IF(B42="","",IF(VLOOKUP(B42,$Q$3:$U$14,5,FALSE)&lt;=2,1,1-((IF(AND($B$4="Executive Sponsor",OR($F$4="Committed",$F$4="Advocating")),0.3,0))+(IF(AND($B$5="Senior Leadership",OR($F$5="Committed",$F$5="Advocating")),0.2,0)))))</f>
        <v/>
      </c>
      <c r="N42" s="7">
        <f>IF(B42="","",((IF(VLOOKUP(B42,$Q$3:$U$14,5,FALSE)&lt;=2,1,IF(VLOOKUP(B42,$Q$3:$U$14,5,FALSE)=3,1.1,IF(VLOOKUP(B42,$Q$3:$U$14,5,FALSE)=4,1.2,1.3))))*(1+IF(H42="",0,IF(H42&gt;1000,0.3,IF(H42&gt;500,0.2,IF(H42&gt;100,0.1,0)))))))</f>
        <v/>
      </c>
      <c r="O42" s="7">
        <f>IF(OR(L42="",M42="",N42=""),"",MIN(100,MAX(0,ROUND(L42*M42*N42,0))))</f>
        <v/>
      </c>
    </row>
    <row r="43">
      <c r="A43" s="9" t="n"/>
      <c r="B43" s="9" t="n"/>
      <c r="C43" s="9" t="n"/>
      <c r="D43" s="7">
        <f>IF(B43="","",VLOOKUP(B43,$Q$3:$U$14,2,FALSE))</f>
        <v/>
      </c>
      <c r="E43" s="7">
        <f>IF(B43="","",VLOOKUP(B43,$Q$3:$U$14,3,FALSE))</f>
        <v/>
      </c>
      <c r="F43" s="7" t="n"/>
      <c r="G43" s="7" t="n"/>
      <c r="H43" s="7" t="n"/>
      <c r="I43" s="7" t="n"/>
      <c r="J43" s="7">
        <f>IF(B43="","",VLOOKUP(B43,$Q$3:$U$14,4,FALSE))</f>
        <v/>
      </c>
      <c r="K43" s="7">
        <f>IF(OR(D43="",E43=""),"",IF(AND(D43="High",E43="High"),"Manage Closely",IF(AND(D43="High",E43="Medium"),"Keep Satisfied",IF(AND(D43="High",E43="Low"),"Keep Satisfied",IF(AND(D43="Medium",E43="High"),"Keep Informed",IF(AND(D43="Medium",E43="Medium"),"Keep Informed",IF(AND(D43="Medium",E43="Low"),"Monitor",IF(AND(D43="Low",E43="High"),"Keep Informed",IF(AND(D43="Low",E43="Medium"),"Monitor","Monitor")))))))))</f>
        <v/>
      </c>
      <c r="L43" s="7">
        <f>IF(OR(F43="",G43=""),"",(VLOOKUP(G43,$W$3:$X$8,2,FALSE)-VLOOKUP(F43,$W$3:$X$8,2,FALSE))*IF(D43="High",3,IF(D43="Medium",2,1))*6.67)</f>
        <v/>
      </c>
      <c r="M43" s="7">
        <f>IF(B43="","",IF(VLOOKUP(B43,$Q$3:$U$14,5,FALSE)&lt;=2,1,1-((IF(AND($B$4="Executive Sponsor",OR($F$4="Committed",$F$4="Advocating")),0.3,0))+(IF(AND($B$5="Senior Leadership",OR($F$5="Committed",$F$5="Advocating")),0.2,0)))))</f>
        <v/>
      </c>
      <c r="N43" s="7">
        <f>IF(B43="","",((IF(VLOOKUP(B43,$Q$3:$U$14,5,FALSE)&lt;=2,1,IF(VLOOKUP(B43,$Q$3:$U$14,5,FALSE)=3,1.1,IF(VLOOKUP(B43,$Q$3:$U$14,5,FALSE)=4,1.2,1.3))))*(1+IF(H43="",0,IF(H43&gt;1000,0.3,IF(H43&gt;500,0.2,IF(H43&gt;100,0.1,0)))))))</f>
        <v/>
      </c>
      <c r="O43" s="7">
        <f>IF(OR(L43="",M43="",N43=""),"",MIN(100,MAX(0,ROUND(L43*M43*N43,0))))</f>
        <v/>
      </c>
    </row>
    <row r="44">
      <c r="A44" s="9" t="n"/>
      <c r="B44" s="9" t="n"/>
      <c r="C44" s="9" t="n"/>
      <c r="D44" s="7">
        <f>IF(B44="","",VLOOKUP(B44,$Q$3:$U$14,2,FALSE))</f>
        <v/>
      </c>
      <c r="E44" s="7">
        <f>IF(B44="","",VLOOKUP(B44,$Q$3:$U$14,3,FALSE))</f>
        <v/>
      </c>
      <c r="F44" s="7" t="n"/>
      <c r="G44" s="7" t="n"/>
      <c r="H44" s="7" t="n"/>
      <c r="I44" s="7" t="n"/>
      <c r="J44" s="7">
        <f>IF(B44="","",VLOOKUP(B44,$Q$3:$U$14,4,FALSE))</f>
        <v/>
      </c>
      <c r="K44" s="7">
        <f>IF(OR(D44="",E44=""),"",IF(AND(D44="High",E44="High"),"Manage Closely",IF(AND(D44="High",E44="Medium"),"Keep Satisfied",IF(AND(D44="High",E44="Low"),"Keep Satisfied",IF(AND(D44="Medium",E44="High"),"Keep Informed",IF(AND(D44="Medium",E44="Medium"),"Keep Informed",IF(AND(D44="Medium",E44="Low"),"Monitor",IF(AND(D44="Low",E44="High"),"Keep Informed",IF(AND(D44="Low",E44="Medium"),"Monitor","Monitor")))))))))</f>
        <v/>
      </c>
      <c r="L44" s="7">
        <f>IF(OR(F44="",G44=""),"",(VLOOKUP(G44,$W$3:$X$8,2,FALSE)-VLOOKUP(F44,$W$3:$X$8,2,FALSE))*IF(D44="High",3,IF(D44="Medium",2,1))*6.67)</f>
        <v/>
      </c>
      <c r="M44" s="7">
        <f>IF(B44="","",IF(VLOOKUP(B44,$Q$3:$U$14,5,FALSE)&lt;=2,1,1-((IF(AND($B$4="Executive Sponsor",OR($F$4="Committed",$F$4="Advocating")),0.3,0))+(IF(AND($B$5="Senior Leadership",OR($F$5="Committed",$F$5="Advocating")),0.2,0)))))</f>
        <v/>
      </c>
      <c r="N44" s="7">
        <f>IF(B44="","",((IF(VLOOKUP(B44,$Q$3:$U$14,5,FALSE)&lt;=2,1,IF(VLOOKUP(B44,$Q$3:$U$14,5,FALSE)=3,1.1,IF(VLOOKUP(B44,$Q$3:$U$14,5,FALSE)=4,1.2,1.3))))*(1+IF(H44="",0,IF(H44&gt;1000,0.3,IF(H44&gt;500,0.2,IF(H44&gt;100,0.1,0)))))))</f>
        <v/>
      </c>
      <c r="O44" s="7">
        <f>IF(OR(L44="",M44="",N44=""),"",MIN(100,MAX(0,ROUND(L44*M44*N44,0))))</f>
        <v/>
      </c>
    </row>
    <row r="45">
      <c r="A45" s="9" t="n"/>
      <c r="B45" s="9" t="n"/>
      <c r="C45" s="9" t="n"/>
      <c r="D45" s="7">
        <f>IF(B45="","",VLOOKUP(B45,$Q$3:$U$14,2,FALSE))</f>
        <v/>
      </c>
      <c r="E45" s="7">
        <f>IF(B45="","",VLOOKUP(B45,$Q$3:$U$14,3,FALSE))</f>
        <v/>
      </c>
      <c r="F45" s="7" t="n"/>
      <c r="G45" s="7" t="n"/>
      <c r="H45" s="7" t="n"/>
      <c r="I45" s="7" t="n"/>
      <c r="J45" s="7">
        <f>IF(B45="","",VLOOKUP(B45,$Q$3:$U$14,4,FALSE))</f>
        <v/>
      </c>
      <c r="K45" s="7">
        <f>IF(OR(D45="",E45=""),"",IF(AND(D45="High",E45="High"),"Manage Closely",IF(AND(D45="High",E45="Medium"),"Keep Satisfied",IF(AND(D45="High",E45="Low"),"Keep Satisfied",IF(AND(D45="Medium",E45="High"),"Keep Informed",IF(AND(D45="Medium",E45="Medium"),"Keep Informed",IF(AND(D45="Medium",E45="Low"),"Monitor",IF(AND(D45="Low",E45="High"),"Keep Informed",IF(AND(D45="Low",E45="Medium"),"Monitor","Monitor")))))))))</f>
        <v/>
      </c>
      <c r="L45" s="7">
        <f>IF(OR(F45="",G45=""),"",(VLOOKUP(G45,$W$3:$X$8,2,FALSE)-VLOOKUP(F45,$W$3:$X$8,2,FALSE))*IF(D45="High",3,IF(D45="Medium",2,1))*6.67)</f>
        <v/>
      </c>
      <c r="M45" s="7">
        <f>IF(B45="","",IF(VLOOKUP(B45,$Q$3:$U$14,5,FALSE)&lt;=2,1,1-((IF(AND($B$4="Executive Sponsor",OR($F$4="Committed",$F$4="Advocating")),0.3,0))+(IF(AND($B$5="Senior Leadership",OR($F$5="Committed",$F$5="Advocating")),0.2,0)))))</f>
        <v/>
      </c>
      <c r="N45" s="7">
        <f>IF(B45="","",((IF(VLOOKUP(B45,$Q$3:$U$14,5,FALSE)&lt;=2,1,IF(VLOOKUP(B45,$Q$3:$U$14,5,FALSE)=3,1.1,IF(VLOOKUP(B45,$Q$3:$U$14,5,FALSE)=4,1.2,1.3))))*(1+IF(H45="",0,IF(H45&gt;1000,0.3,IF(H45&gt;500,0.2,IF(H45&gt;100,0.1,0)))))))</f>
        <v/>
      </c>
      <c r="O45" s="7">
        <f>IF(OR(L45="",M45="",N45=""),"",MIN(100,MAX(0,ROUND(L45*M45*N45,0))))</f>
        <v/>
      </c>
    </row>
    <row r="46">
      <c r="A46" s="9" t="n"/>
      <c r="B46" s="9" t="n"/>
      <c r="C46" s="9" t="n"/>
      <c r="D46" s="7">
        <f>IF(B46="","",VLOOKUP(B46,$Q$3:$U$14,2,FALSE))</f>
        <v/>
      </c>
      <c r="E46" s="7">
        <f>IF(B46="","",VLOOKUP(B46,$Q$3:$U$14,3,FALSE))</f>
        <v/>
      </c>
      <c r="F46" s="7" t="n"/>
      <c r="G46" s="7" t="n"/>
      <c r="H46" s="7" t="n"/>
      <c r="I46" s="7" t="n"/>
      <c r="J46" s="7">
        <f>IF(B46="","",VLOOKUP(B46,$Q$3:$U$14,4,FALSE))</f>
        <v/>
      </c>
      <c r="K46" s="7">
        <f>IF(OR(D46="",E46=""),"",IF(AND(D46="High",E46="High"),"Manage Closely",IF(AND(D46="High",E46="Medium"),"Keep Satisfied",IF(AND(D46="High",E46="Low"),"Keep Satisfied",IF(AND(D46="Medium",E46="High"),"Keep Informed",IF(AND(D46="Medium",E46="Medium"),"Keep Informed",IF(AND(D46="Medium",E46="Low"),"Monitor",IF(AND(D46="Low",E46="High"),"Keep Informed",IF(AND(D46="Low",E46="Medium"),"Monitor","Monitor")))))))))</f>
        <v/>
      </c>
      <c r="L46" s="7">
        <f>IF(OR(F46="",G46=""),"",(VLOOKUP(G46,$W$3:$X$8,2,FALSE)-VLOOKUP(F46,$W$3:$X$8,2,FALSE))*IF(D46="High",3,IF(D46="Medium",2,1))*6.67)</f>
        <v/>
      </c>
      <c r="M46" s="7">
        <f>IF(B46="","",IF(VLOOKUP(B46,$Q$3:$U$14,5,FALSE)&lt;=2,1,1-((IF(AND($B$4="Executive Sponsor",OR($F$4="Committed",$F$4="Advocating")),0.3,0))+(IF(AND($B$5="Senior Leadership",OR($F$5="Committed",$F$5="Advocating")),0.2,0)))))</f>
        <v/>
      </c>
      <c r="N46" s="7">
        <f>IF(B46="","",((IF(VLOOKUP(B46,$Q$3:$U$14,5,FALSE)&lt;=2,1,IF(VLOOKUP(B46,$Q$3:$U$14,5,FALSE)=3,1.1,IF(VLOOKUP(B46,$Q$3:$U$14,5,FALSE)=4,1.2,1.3))))*(1+IF(H46="",0,IF(H46&gt;1000,0.3,IF(H46&gt;500,0.2,IF(H46&gt;100,0.1,0)))))))</f>
        <v/>
      </c>
      <c r="O46" s="7">
        <f>IF(OR(L46="",M46="",N46=""),"",MIN(100,MAX(0,ROUND(L46*M46*N46,0))))</f>
        <v/>
      </c>
    </row>
    <row r="47">
      <c r="A47" s="9" t="n"/>
      <c r="B47" s="9" t="n"/>
      <c r="C47" s="9" t="n"/>
      <c r="D47" s="7">
        <f>IF(B47="","",VLOOKUP(B47,$Q$3:$U$14,2,FALSE))</f>
        <v/>
      </c>
      <c r="E47" s="7">
        <f>IF(B47="","",VLOOKUP(B47,$Q$3:$U$14,3,FALSE))</f>
        <v/>
      </c>
      <c r="F47" s="7" t="n"/>
      <c r="G47" s="7" t="n"/>
      <c r="H47" s="7" t="n"/>
      <c r="I47" s="7" t="n"/>
      <c r="J47" s="7">
        <f>IF(B47="","",VLOOKUP(B47,$Q$3:$U$14,4,FALSE))</f>
        <v/>
      </c>
      <c r="K47" s="7">
        <f>IF(OR(D47="",E47=""),"",IF(AND(D47="High",E47="High"),"Manage Closely",IF(AND(D47="High",E47="Medium"),"Keep Satisfied",IF(AND(D47="High",E47="Low"),"Keep Satisfied",IF(AND(D47="Medium",E47="High"),"Keep Informed",IF(AND(D47="Medium",E47="Medium"),"Keep Informed",IF(AND(D47="Medium",E47="Low"),"Monitor",IF(AND(D47="Low",E47="High"),"Keep Informed",IF(AND(D47="Low",E47="Medium"),"Monitor","Monitor")))))))))</f>
        <v/>
      </c>
      <c r="L47" s="7">
        <f>IF(OR(F47="",G47=""),"",(VLOOKUP(G47,$W$3:$X$8,2,FALSE)-VLOOKUP(F47,$W$3:$X$8,2,FALSE))*IF(D47="High",3,IF(D47="Medium",2,1))*6.67)</f>
        <v/>
      </c>
      <c r="M47" s="7">
        <f>IF(B47="","",IF(VLOOKUP(B47,$Q$3:$U$14,5,FALSE)&lt;=2,1,1-((IF(AND($B$4="Executive Sponsor",OR($F$4="Committed",$F$4="Advocating")),0.3,0))+(IF(AND($B$5="Senior Leadership",OR($F$5="Committed",$F$5="Advocating")),0.2,0)))))</f>
        <v/>
      </c>
      <c r="N47" s="7">
        <f>IF(B47="","",((IF(VLOOKUP(B47,$Q$3:$U$14,5,FALSE)&lt;=2,1,IF(VLOOKUP(B47,$Q$3:$U$14,5,FALSE)=3,1.1,IF(VLOOKUP(B47,$Q$3:$U$14,5,FALSE)=4,1.2,1.3))))*(1+IF(H47="",0,IF(H47&gt;1000,0.3,IF(H47&gt;500,0.2,IF(H47&gt;100,0.1,0)))))))</f>
        <v/>
      </c>
      <c r="O47" s="7">
        <f>IF(OR(L47="",M47="",N47=""),"",MIN(100,MAX(0,ROUND(L47*M47*N47,0))))</f>
        <v/>
      </c>
    </row>
    <row r="48">
      <c r="A48" s="9" t="n"/>
      <c r="B48" s="9" t="n"/>
      <c r="C48" s="9" t="n"/>
      <c r="D48" s="7">
        <f>IF(B48="","",VLOOKUP(B48,$Q$3:$U$14,2,FALSE))</f>
        <v/>
      </c>
      <c r="E48" s="7">
        <f>IF(B48="","",VLOOKUP(B48,$Q$3:$U$14,3,FALSE))</f>
        <v/>
      </c>
      <c r="F48" s="7" t="n"/>
      <c r="G48" s="7" t="n"/>
      <c r="H48" s="7" t="n"/>
      <c r="I48" s="7" t="n"/>
      <c r="J48" s="7">
        <f>IF(B48="","",VLOOKUP(B48,$Q$3:$U$14,4,FALSE))</f>
        <v/>
      </c>
      <c r="K48" s="7">
        <f>IF(OR(D48="",E48=""),"",IF(AND(D48="High",E48="High"),"Manage Closely",IF(AND(D48="High",E48="Medium"),"Keep Satisfied",IF(AND(D48="High",E48="Low"),"Keep Satisfied",IF(AND(D48="Medium",E48="High"),"Keep Informed",IF(AND(D48="Medium",E48="Medium"),"Keep Informed",IF(AND(D48="Medium",E48="Low"),"Monitor",IF(AND(D48="Low",E48="High"),"Keep Informed",IF(AND(D48="Low",E48="Medium"),"Monitor","Monitor")))))))))</f>
        <v/>
      </c>
      <c r="L48" s="7">
        <f>IF(OR(F48="",G48=""),"",(VLOOKUP(G48,$W$3:$X$8,2,FALSE)-VLOOKUP(F48,$W$3:$X$8,2,FALSE))*IF(D48="High",3,IF(D48="Medium",2,1))*6.67)</f>
        <v/>
      </c>
      <c r="M48" s="7">
        <f>IF(B48="","",IF(VLOOKUP(B48,$Q$3:$U$14,5,FALSE)&lt;=2,1,1-((IF(AND($B$4="Executive Sponsor",OR($F$4="Committed",$F$4="Advocating")),0.3,0))+(IF(AND($B$5="Senior Leadership",OR($F$5="Committed",$F$5="Advocating")),0.2,0)))))</f>
        <v/>
      </c>
      <c r="N48" s="7">
        <f>IF(B48="","",((IF(VLOOKUP(B48,$Q$3:$U$14,5,FALSE)&lt;=2,1,IF(VLOOKUP(B48,$Q$3:$U$14,5,FALSE)=3,1.1,IF(VLOOKUP(B48,$Q$3:$U$14,5,FALSE)=4,1.2,1.3))))*(1+IF(H48="",0,IF(H48&gt;1000,0.3,IF(H48&gt;500,0.2,IF(H48&gt;100,0.1,0)))))))</f>
        <v/>
      </c>
      <c r="O48" s="7">
        <f>IF(OR(L48="",M48="",N48=""),"",MIN(100,MAX(0,ROUND(L48*M48*N48,0))))</f>
        <v/>
      </c>
    </row>
    <row r="49">
      <c r="A49" s="9" t="n"/>
      <c r="B49" s="9" t="n"/>
      <c r="C49" s="9" t="n"/>
      <c r="D49" s="7">
        <f>IF(B49="","",VLOOKUP(B49,$Q$3:$U$14,2,FALSE))</f>
        <v/>
      </c>
      <c r="E49" s="7">
        <f>IF(B49="","",VLOOKUP(B49,$Q$3:$U$14,3,FALSE))</f>
        <v/>
      </c>
      <c r="F49" s="7" t="n"/>
      <c r="G49" s="7" t="n"/>
      <c r="H49" s="7" t="n"/>
      <c r="I49" s="7" t="n"/>
      <c r="J49" s="7">
        <f>IF(B49="","",VLOOKUP(B49,$Q$3:$U$14,4,FALSE))</f>
        <v/>
      </c>
      <c r="K49" s="7">
        <f>IF(OR(D49="",E49=""),"",IF(AND(D49="High",E49="High"),"Manage Closely",IF(AND(D49="High",E49="Medium"),"Keep Satisfied",IF(AND(D49="High",E49="Low"),"Keep Satisfied",IF(AND(D49="Medium",E49="High"),"Keep Informed",IF(AND(D49="Medium",E49="Medium"),"Keep Informed",IF(AND(D49="Medium",E49="Low"),"Monitor",IF(AND(D49="Low",E49="High"),"Keep Informed",IF(AND(D49="Low",E49="Medium"),"Monitor","Monitor")))))))))</f>
        <v/>
      </c>
      <c r="L49" s="7">
        <f>IF(OR(F49="",G49=""),"",(VLOOKUP(G49,$W$3:$X$8,2,FALSE)-VLOOKUP(F49,$W$3:$X$8,2,FALSE))*IF(D49="High",3,IF(D49="Medium",2,1))*6.67)</f>
        <v/>
      </c>
      <c r="M49" s="7">
        <f>IF(B49="","",IF(VLOOKUP(B49,$Q$3:$U$14,5,FALSE)&lt;=2,1,1-((IF(AND($B$4="Executive Sponsor",OR($F$4="Committed",$F$4="Advocating")),0.3,0))+(IF(AND($B$5="Senior Leadership",OR($F$5="Committed",$F$5="Advocating")),0.2,0)))))</f>
        <v/>
      </c>
      <c r="N49" s="7">
        <f>IF(B49="","",((IF(VLOOKUP(B49,$Q$3:$U$14,5,FALSE)&lt;=2,1,IF(VLOOKUP(B49,$Q$3:$U$14,5,FALSE)=3,1.1,IF(VLOOKUP(B49,$Q$3:$U$14,5,FALSE)=4,1.2,1.3))))*(1+IF(H49="",0,IF(H49&gt;1000,0.3,IF(H49&gt;500,0.2,IF(H49&gt;100,0.1,0)))))))</f>
        <v/>
      </c>
      <c r="O49" s="7">
        <f>IF(OR(L49="",M49="",N49=""),"",MIN(100,MAX(0,ROUND(L49*M49*N49,0))))</f>
        <v/>
      </c>
    </row>
    <row r="50">
      <c r="A50" s="9" t="n"/>
      <c r="B50" s="9" t="n"/>
      <c r="C50" s="9" t="n"/>
      <c r="D50" s="7">
        <f>IF(B50="","",VLOOKUP(B50,$Q$3:$U$14,2,FALSE))</f>
        <v/>
      </c>
      <c r="E50" s="7">
        <f>IF(B50="","",VLOOKUP(B50,$Q$3:$U$14,3,FALSE))</f>
        <v/>
      </c>
      <c r="F50" s="7" t="n"/>
      <c r="G50" s="7" t="n"/>
      <c r="H50" s="7" t="n"/>
      <c r="I50" s="7" t="n"/>
      <c r="J50" s="7">
        <f>IF(B50="","",VLOOKUP(B50,$Q$3:$U$14,4,FALSE))</f>
        <v/>
      </c>
      <c r="K50" s="7">
        <f>IF(OR(D50="",E50=""),"",IF(AND(D50="High",E50="High"),"Manage Closely",IF(AND(D50="High",E50="Medium"),"Keep Satisfied",IF(AND(D50="High",E50="Low"),"Keep Satisfied",IF(AND(D50="Medium",E50="High"),"Keep Informed",IF(AND(D50="Medium",E50="Medium"),"Keep Informed",IF(AND(D50="Medium",E50="Low"),"Monitor",IF(AND(D50="Low",E50="High"),"Keep Informed",IF(AND(D50="Low",E50="Medium"),"Monitor","Monitor")))))))))</f>
        <v/>
      </c>
      <c r="L50" s="7">
        <f>IF(OR(F50="",G50=""),"",(VLOOKUP(G50,$W$3:$X$8,2,FALSE)-VLOOKUP(F50,$W$3:$X$8,2,FALSE))*IF(D50="High",3,IF(D50="Medium",2,1))*6.67)</f>
        <v/>
      </c>
      <c r="M50" s="7">
        <f>IF(B50="","",IF(VLOOKUP(B50,$Q$3:$U$14,5,FALSE)&lt;=2,1,1-((IF(AND($B$4="Executive Sponsor",OR($F$4="Committed",$F$4="Advocating")),0.3,0))+(IF(AND($B$5="Senior Leadership",OR($F$5="Committed",$F$5="Advocating")),0.2,0)))))</f>
        <v/>
      </c>
      <c r="N50" s="7">
        <f>IF(B50="","",((IF(VLOOKUP(B50,$Q$3:$U$14,5,FALSE)&lt;=2,1,IF(VLOOKUP(B50,$Q$3:$U$14,5,FALSE)=3,1.1,IF(VLOOKUP(B50,$Q$3:$U$14,5,FALSE)=4,1.2,1.3))))*(1+IF(H50="",0,IF(H50&gt;1000,0.3,IF(H50&gt;500,0.2,IF(H50&gt;100,0.1,0)))))))</f>
        <v/>
      </c>
      <c r="O50" s="7">
        <f>IF(OR(L50="",M50="",N50=""),"",MIN(100,MAX(0,ROUND(L50*M50*N50,0))))</f>
        <v/>
      </c>
    </row>
    <row r="51">
      <c r="A51" s="9" t="n"/>
      <c r="B51" s="9" t="n"/>
      <c r="C51" s="9" t="n"/>
      <c r="D51" s="7">
        <f>IF(B51="","",VLOOKUP(B51,$Q$3:$U$14,2,FALSE))</f>
        <v/>
      </c>
      <c r="E51" s="7">
        <f>IF(B51="","",VLOOKUP(B51,$Q$3:$U$14,3,FALSE))</f>
        <v/>
      </c>
      <c r="F51" s="7" t="n"/>
      <c r="G51" s="7" t="n"/>
      <c r="H51" s="7" t="n"/>
      <c r="I51" s="7" t="n"/>
      <c r="J51" s="7">
        <f>IF(B51="","",VLOOKUP(B51,$Q$3:$U$14,4,FALSE))</f>
        <v/>
      </c>
      <c r="K51" s="7">
        <f>IF(OR(D51="",E51=""),"",IF(AND(D51="High",E51="High"),"Manage Closely",IF(AND(D51="High",E51="Medium"),"Keep Satisfied",IF(AND(D51="High",E51="Low"),"Keep Satisfied",IF(AND(D51="Medium",E51="High"),"Keep Informed",IF(AND(D51="Medium",E51="Medium"),"Keep Informed",IF(AND(D51="Medium",E51="Low"),"Monitor",IF(AND(D51="Low",E51="High"),"Keep Informed",IF(AND(D51="Low",E51="Medium"),"Monitor","Monitor")))))))))</f>
        <v/>
      </c>
      <c r="L51" s="7">
        <f>IF(OR(F51="",G51=""),"",(VLOOKUP(G51,$W$3:$X$8,2,FALSE)-VLOOKUP(F51,$W$3:$X$8,2,FALSE))*IF(D51="High",3,IF(D51="Medium",2,1))*6.67)</f>
        <v/>
      </c>
      <c r="M51" s="7">
        <f>IF(B51="","",IF(VLOOKUP(B51,$Q$3:$U$14,5,FALSE)&lt;=2,1,1-((IF(AND($B$4="Executive Sponsor",OR($F$4="Committed",$F$4="Advocating")),0.3,0))+(IF(AND($B$5="Senior Leadership",OR($F$5="Committed",$F$5="Advocating")),0.2,0)))))</f>
        <v/>
      </c>
      <c r="N51" s="7">
        <f>IF(B51="","",((IF(VLOOKUP(B51,$Q$3:$U$14,5,FALSE)&lt;=2,1,IF(VLOOKUP(B51,$Q$3:$U$14,5,FALSE)=3,1.1,IF(VLOOKUP(B51,$Q$3:$U$14,5,FALSE)=4,1.2,1.3))))*(1+IF(H51="",0,IF(H51&gt;1000,0.3,IF(H51&gt;500,0.2,IF(H51&gt;100,0.1,0)))))))</f>
        <v/>
      </c>
      <c r="O51" s="7">
        <f>IF(OR(L51="",M51="",N51=""),"",MIN(100,MAX(0,ROUND(L51*M51*N51,0))))</f>
        <v/>
      </c>
    </row>
    <row r="52">
      <c r="A52" s="9" t="n"/>
      <c r="B52" s="9" t="n"/>
      <c r="C52" s="9" t="n"/>
      <c r="D52" s="7">
        <f>IF(B52="","",VLOOKUP(B52,$Q$3:$U$14,2,FALSE))</f>
        <v/>
      </c>
      <c r="E52" s="7">
        <f>IF(B52="","",VLOOKUP(B52,$Q$3:$U$14,3,FALSE))</f>
        <v/>
      </c>
      <c r="F52" s="7" t="n"/>
      <c r="G52" s="7" t="n"/>
      <c r="H52" s="7" t="n"/>
      <c r="I52" s="7" t="n"/>
      <c r="J52" s="7">
        <f>IF(B52="","",VLOOKUP(B52,$Q$3:$U$14,4,FALSE))</f>
        <v/>
      </c>
      <c r="K52" s="7">
        <f>IF(OR(D52="",E52=""),"",IF(AND(D52="High",E52="High"),"Manage Closely",IF(AND(D52="High",E52="Medium"),"Keep Satisfied",IF(AND(D52="High",E52="Low"),"Keep Satisfied",IF(AND(D52="Medium",E52="High"),"Keep Informed",IF(AND(D52="Medium",E52="Medium"),"Keep Informed",IF(AND(D52="Medium",E52="Low"),"Monitor",IF(AND(D52="Low",E52="High"),"Keep Informed",IF(AND(D52="Low",E52="Medium"),"Monitor","Monitor")))))))))</f>
        <v/>
      </c>
      <c r="L52" s="7">
        <f>IF(OR(F52="",G52=""),"",(VLOOKUP(G52,$W$3:$X$8,2,FALSE)-VLOOKUP(F52,$W$3:$X$8,2,FALSE))*IF(D52="High",3,IF(D52="Medium",2,1))*6.67)</f>
        <v/>
      </c>
      <c r="M52" s="7">
        <f>IF(B52="","",IF(VLOOKUP(B52,$Q$3:$U$14,5,FALSE)&lt;=2,1,1-((IF(AND($B$4="Executive Sponsor",OR($F$4="Committed",$F$4="Advocating")),0.3,0))+(IF(AND($B$5="Senior Leadership",OR($F$5="Committed",$F$5="Advocating")),0.2,0)))))</f>
        <v/>
      </c>
      <c r="N52" s="7">
        <f>IF(B52="","",((IF(VLOOKUP(B52,$Q$3:$U$14,5,FALSE)&lt;=2,1,IF(VLOOKUP(B52,$Q$3:$U$14,5,FALSE)=3,1.1,IF(VLOOKUP(B52,$Q$3:$U$14,5,FALSE)=4,1.2,1.3))))*(1+IF(H52="",0,IF(H52&gt;1000,0.3,IF(H52&gt;500,0.2,IF(H52&gt;100,0.1,0)))))))</f>
        <v/>
      </c>
      <c r="O52" s="7">
        <f>IF(OR(L52="",M52="",N52=""),"",MIN(100,MAX(0,ROUND(L52*M52*N52,0))))</f>
        <v/>
      </c>
    </row>
    <row r="53">
      <c r="A53" s="9" t="n"/>
      <c r="B53" s="9" t="n"/>
      <c r="C53" s="9" t="n"/>
      <c r="D53" s="7">
        <f>IF(B53="","",VLOOKUP(B53,$Q$3:$U$14,2,FALSE))</f>
        <v/>
      </c>
      <c r="E53" s="7">
        <f>IF(B53="","",VLOOKUP(B53,$Q$3:$U$14,3,FALSE))</f>
        <v/>
      </c>
      <c r="F53" s="7" t="n"/>
      <c r="G53" s="7" t="n"/>
      <c r="H53" s="7" t="n"/>
      <c r="I53" s="7" t="n"/>
      <c r="J53" s="7">
        <f>IF(B53="","",VLOOKUP(B53,$Q$3:$U$14,4,FALSE))</f>
        <v/>
      </c>
      <c r="K53" s="7">
        <f>IF(OR(D53="",E53=""),"",IF(AND(D53="High",E53="High"),"Manage Closely",IF(AND(D53="High",E53="Medium"),"Keep Satisfied",IF(AND(D53="High",E53="Low"),"Keep Satisfied",IF(AND(D53="Medium",E53="High"),"Keep Informed",IF(AND(D53="Medium",E53="Medium"),"Keep Informed",IF(AND(D53="Medium",E53="Low"),"Monitor",IF(AND(D53="Low",E53="High"),"Keep Informed",IF(AND(D53="Low",E53="Medium"),"Monitor","Monitor")))))))))</f>
        <v/>
      </c>
      <c r="L53" s="7">
        <f>IF(OR(F53="",G53=""),"",(VLOOKUP(G53,$W$3:$X$8,2,FALSE)-VLOOKUP(F53,$W$3:$X$8,2,FALSE))*IF(D53="High",3,IF(D53="Medium",2,1))*6.67)</f>
        <v/>
      </c>
      <c r="M53" s="7">
        <f>IF(B53="","",IF(VLOOKUP(B53,$Q$3:$U$14,5,FALSE)&lt;=2,1,1-((IF(AND($B$4="Executive Sponsor",OR($F$4="Committed",$F$4="Advocating")),0.3,0))+(IF(AND($B$5="Senior Leadership",OR($F$5="Committed",$F$5="Advocating")),0.2,0)))))</f>
        <v/>
      </c>
      <c r="N53" s="7">
        <f>IF(B53="","",((IF(VLOOKUP(B53,$Q$3:$U$14,5,FALSE)&lt;=2,1,IF(VLOOKUP(B53,$Q$3:$U$14,5,FALSE)=3,1.1,IF(VLOOKUP(B53,$Q$3:$U$14,5,FALSE)=4,1.2,1.3))))*(1+IF(H53="",0,IF(H53&gt;1000,0.3,IF(H53&gt;500,0.2,IF(H53&gt;100,0.1,0)))))))</f>
        <v/>
      </c>
      <c r="O53" s="7">
        <f>IF(OR(L53="",M53="",N53=""),"",MIN(100,MAX(0,ROUND(L53*M53*N53,0))))</f>
        <v/>
      </c>
    </row>
  </sheetData>
  <mergeCells count="1">
    <mergeCell ref="Q1:U1"/>
  </mergeCells>
  <dataValidations count="2">
    <dataValidation sqref="B4:B53" showDropDown="0" showInputMessage="0" showErrorMessage="0" allowBlank="1" type="list">
      <formula1>$Q$3:$Q$14</formula1>
    </dataValidation>
    <dataValidation sqref="F4:G53" showDropDown="0" showInputMessage="0" showErrorMessage="0" allowBlank="1" type="list">
      <formula1>"Unaware,Aware,Understanding,Buy-in,Committed,Advocating"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40"/>
  <sheetViews>
    <sheetView workbookViewId="0">
      <pane xSplit="15" topLeftCell="P1" activePane="topRight" state="frozen"/>
      <selection pane="topRight" activeCell="A1" sqref="A1"/>
    </sheetView>
  </sheetViews>
  <sheetFormatPr baseColWidth="8" defaultRowHeight="15"/>
  <cols>
    <col width="6" customWidth="1" min="1" max="1"/>
    <col width="18" customWidth="1" min="2" max="2"/>
    <col width="16" customWidth="1" min="3" max="3"/>
    <col width="14" customWidth="1" min="4" max="4"/>
    <col width="12" customWidth="1" min="5" max="5"/>
    <col width="10" customWidth="1" min="6" max="6"/>
    <col width="14" customWidth="1" min="7" max="7"/>
    <col width="14" customWidth="1" min="8" max="8"/>
    <col width="14" customWidth="1" min="9" max="9"/>
    <col width="12" customWidth="1" min="10" max="10"/>
    <col width="11" customWidth="1" min="11" max="11"/>
    <col width="20" customWidth="1" min="13" max="13"/>
    <col width="14" customWidth="1" min="14" max="14"/>
    <col width="45" customWidth="1" min="16" max="16"/>
  </cols>
  <sheetData>
    <row r="1">
      <c r="A1" s="15" t="inlineStr">
        <is>
          <t>ORGANIZATIONAL STRUCTURE &amp; CASCADE IMPACT</t>
        </is>
      </c>
      <c r="P1" s="2" t="inlineStr">
        <is>
          <t>INSTRUCTIONS</t>
        </is>
      </c>
    </row>
    <row r="2">
      <c r="A2" s="16" t="inlineStr">
        <is>
          <t>Model how leadership strength/weakness cascades through reporting relationships</t>
        </is>
      </c>
    </row>
    <row r="3">
      <c r="M3" s="11" t="inlineStr">
        <is>
          <t>STATE VALUES</t>
        </is>
      </c>
      <c r="P3" s="4" t="inlineStr">
        <is>
          <t>PURPOSE</t>
        </is>
      </c>
    </row>
    <row r="4">
      <c r="A4" s="5" t="inlineStr">
        <is>
          <t>ID</t>
        </is>
      </c>
      <c r="B4" s="5" t="inlineStr">
        <is>
          <t>Name</t>
        </is>
      </c>
      <c r="C4" s="5" t="inlineStr">
        <is>
          <t>Role</t>
        </is>
      </c>
      <c r="D4" s="5" t="inlineStr">
        <is>
          <t>Reports To (ID)</t>
        </is>
      </c>
      <c r="E4" s="5" t="inlineStr">
        <is>
          <t>Direct Reports</t>
        </is>
      </c>
      <c r="F4" s="5" t="inlineStr">
        <is>
          <t>Total Under</t>
        </is>
      </c>
      <c r="G4" s="5" t="inlineStr">
        <is>
          <t>Current State</t>
        </is>
      </c>
      <c r="H4" s="5" t="inlineStr">
        <is>
          <t>Leader State</t>
        </is>
      </c>
      <c r="I4" s="5" t="inlineStr">
        <is>
          <t>Cascade Modifier</t>
        </is>
      </c>
      <c r="J4" s="5" t="inlineStr">
        <is>
          <t>Effective State</t>
        </is>
      </c>
      <c r="K4" s="5" t="inlineStr">
        <is>
          <t>Impact Score</t>
        </is>
      </c>
      <c r="M4" s="5" t="inlineStr">
        <is>
          <t>State</t>
        </is>
      </c>
      <c r="N4" s="5" t="inlineStr">
        <is>
          <t>Value</t>
        </is>
      </c>
      <c r="P4" s="6" t="inlineStr">
        <is>
          <t>Model organizational hierarchy</t>
        </is>
      </c>
    </row>
    <row r="5">
      <c r="A5" s="7" t="inlineStr">
        <is>
          <t>L1</t>
        </is>
      </c>
      <c r="B5" s="9" t="inlineStr">
        <is>
          <t>Sarah Chen</t>
        </is>
      </c>
      <c r="C5" s="9" t="inlineStr">
        <is>
          <t>Executive Sponsor</t>
        </is>
      </c>
      <c r="D5" s="7" t="inlineStr"/>
      <c r="E5" s="7" t="n">
        <v>2</v>
      </c>
      <c r="F5" s="7" t="n">
        <v>492</v>
      </c>
      <c r="G5" s="7" t="inlineStr">
        <is>
          <t>Committed</t>
        </is>
      </c>
      <c r="H5" s="7" t="inlineStr">
        <is>
          <t>N/A (Top)</t>
        </is>
      </c>
      <c r="I5" s="7">
        <f>IF(H5="N/A (Top)",1,IF(OR(H5="Advocating",H5="Committed"),1.2,IF(H5="Buy-in",1.0,IF(H5="Understanding",0.85,IF(H5="Aware",0.7,0.5)))))</f>
        <v/>
      </c>
      <c r="J5" s="7">
        <f>IF(G5="","",MIN(6,ROUND(VLOOKUP(G5,$M$5:$N$10,2,FALSE)*I5,1)))</f>
        <v/>
      </c>
      <c r="K5" s="7">
        <f>IF(J5="","",ROUND((6-J5)*F5/50,1))</f>
        <v/>
      </c>
      <c r="M5" s="9" t="inlineStr">
        <is>
          <t>Unaware</t>
        </is>
      </c>
      <c r="N5" s="7" t="n">
        <v>1</v>
      </c>
      <c r="P5" s="6" t="inlineStr">
        <is>
          <t>and how leader strength/weakness</t>
        </is>
      </c>
    </row>
    <row r="6">
      <c r="A6" s="7" t="inlineStr">
        <is>
          <t>L2-1</t>
        </is>
      </c>
      <c r="B6" s="9" t="inlineStr">
        <is>
          <t>Michael Torres</t>
        </is>
      </c>
      <c r="C6" s="9" t="inlineStr">
        <is>
          <t>VP Operations</t>
        </is>
      </c>
      <c r="D6" s="7" t="inlineStr">
        <is>
          <t>L1</t>
        </is>
      </c>
      <c r="E6" s="7" t="n">
        <v>3</v>
      </c>
      <c r="F6" s="7" t="n">
        <v>350</v>
      </c>
      <c r="G6" s="7" t="inlineStr">
        <is>
          <t>Buy-in</t>
        </is>
      </c>
      <c r="H6" s="7">
        <f>IF(D6="","",VLOOKUP(D6,$A$5:$K$50,7,FALSE))</f>
        <v/>
      </c>
      <c r="I6" s="7">
        <f>IF(H6="N/A (Top)",1,IF(OR(H6="Advocating",H6="Committed"),1.2,IF(H6="Buy-in",1.0,IF(H6="Understanding",0.85,IF(H6="Aware",0.7,0.5)))))</f>
        <v/>
      </c>
      <c r="J6" s="7">
        <f>IF(G6="","",MIN(6,ROUND(VLOOKUP(G6,$M$5:$N$10,2,FALSE)*I6,1)))</f>
        <v/>
      </c>
      <c r="K6" s="7">
        <f>IF(J6="","",ROUND((6-J6)*F6/50,1))</f>
        <v/>
      </c>
      <c r="M6" s="9" t="inlineStr">
        <is>
          <t>Aware</t>
        </is>
      </c>
      <c r="N6" s="7" t="n">
        <v>2</v>
      </c>
      <c r="P6" s="6" t="inlineStr">
        <is>
          <t>cascades to their reports.</t>
        </is>
      </c>
    </row>
    <row r="7">
      <c r="A7" s="7" t="inlineStr">
        <is>
          <t>L2-2</t>
        </is>
      </c>
      <c r="B7" s="9" t="inlineStr">
        <is>
          <t>Jennifer Walsh</t>
        </is>
      </c>
      <c r="C7" s="9" t="inlineStr">
        <is>
          <t>VP IT</t>
        </is>
      </c>
      <c r="D7" s="7" t="inlineStr">
        <is>
          <t>L1</t>
        </is>
      </c>
      <c r="E7" s="7" t="n">
        <v>2</v>
      </c>
      <c r="F7" s="7" t="n">
        <v>140</v>
      </c>
      <c r="G7" s="7" t="inlineStr">
        <is>
          <t>Committed</t>
        </is>
      </c>
      <c r="H7" s="7">
        <f>IF(D7="","",VLOOKUP(D7,$A$5:$K$50,7,FALSE))</f>
        <v/>
      </c>
      <c r="I7" s="7">
        <f>IF(H7="N/A (Top)",1,IF(OR(H7="Advocating",H7="Committed"),1.2,IF(H7="Buy-in",1.0,IF(H7="Understanding",0.85,IF(H7="Aware",0.7,0.5)))))</f>
        <v/>
      </c>
      <c r="J7" s="7">
        <f>IF(G7="","",MIN(6,ROUND(VLOOKUP(G7,$M$5:$N$10,2,FALSE)*I7,1)))</f>
        <v/>
      </c>
      <c r="K7" s="7">
        <f>IF(J7="","",ROUND((6-J7)*F7/50,1))</f>
        <v/>
      </c>
      <c r="M7" s="9" t="inlineStr">
        <is>
          <t>Understanding</t>
        </is>
      </c>
      <c r="N7" s="7" t="n">
        <v>3</v>
      </c>
    </row>
    <row r="8">
      <c r="A8" s="7" t="inlineStr">
        <is>
          <t>L3-1</t>
        </is>
      </c>
      <c r="B8" s="9" t="inlineStr">
        <is>
          <t>David Kim</t>
        </is>
      </c>
      <c r="C8" s="9" t="inlineStr">
        <is>
          <t>Ops Director</t>
        </is>
      </c>
      <c r="D8" s="7" t="inlineStr">
        <is>
          <t>L2-1</t>
        </is>
      </c>
      <c r="E8" s="7" t="n">
        <v>4</v>
      </c>
      <c r="F8" s="7" t="n">
        <v>200</v>
      </c>
      <c r="G8" s="7" t="inlineStr">
        <is>
          <t>Understanding</t>
        </is>
      </c>
      <c r="H8" s="7">
        <f>IF(D8="","",VLOOKUP(D8,$A$5:$K$50,7,FALSE))</f>
        <v/>
      </c>
      <c r="I8" s="7">
        <f>IF(H8="N/A (Top)",1,IF(OR(H8="Advocating",H8="Committed"),1.2,IF(H8="Buy-in",1.0,IF(H8="Understanding",0.85,IF(H8="Aware",0.7,0.5)))))</f>
        <v/>
      </c>
      <c r="J8" s="7">
        <f>IF(G8="","",MIN(6,ROUND(VLOOKUP(G8,$M$5:$N$10,2,FALSE)*I8,1)))</f>
        <v/>
      </c>
      <c r="K8" s="7">
        <f>IF(J8="","",ROUND((6-J8)*F8/50,1))</f>
        <v/>
      </c>
      <c r="M8" s="9" t="inlineStr">
        <is>
          <t>Buy-in</t>
        </is>
      </c>
      <c r="N8" s="7" t="n">
        <v>4</v>
      </c>
      <c r="P8" s="4" t="inlineStr">
        <is>
          <t>THE MLM EFFECT</t>
        </is>
      </c>
    </row>
    <row r="9">
      <c r="A9" s="7" t="inlineStr">
        <is>
          <t>L3-2</t>
        </is>
      </c>
      <c r="B9" s="9" t="inlineStr">
        <is>
          <t>Lisa Johnson</t>
        </is>
      </c>
      <c r="C9" s="9" t="inlineStr">
        <is>
          <t>Finance Director</t>
        </is>
      </c>
      <c r="D9" s="7" t="inlineStr">
        <is>
          <t>L2-1</t>
        </is>
      </c>
      <c r="E9" s="7" t="n">
        <v>2</v>
      </c>
      <c r="F9" s="7" t="n">
        <v>80</v>
      </c>
      <c r="G9" s="7" t="inlineStr">
        <is>
          <t>Aware</t>
        </is>
      </c>
      <c r="H9" s="7">
        <f>IF(D9="","",VLOOKUP(D9,$A$5:$K$50,7,FALSE))</f>
        <v/>
      </c>
      <c r="I9" s="7">
        <f>IF(H9="N/A (Top)",1,IF(OR(H9="Advocating",H9="Committed"),1.2,IF(H9="Buy-in",1.0,IF(H9="Understanding",0.85,IF(H9="Aware",0.7,0.5)))))</f>
        <v/>
      </c>
      <c r="J9" s="7">
        <f>IF(G9="","",MIN(6,ROUND(VLOOKUP(G9,$M$5:$N$10,2,FALSE)*I9,1)))</f>
        <v/>
      </c>
      <c r="K9" s="7">
        <f>IF(J9="","",ROUND((6-J9)*F9/50,1))</f>
        <v/>
      </c>
      <c r="M9" s="9" t="inlineStr">
        <is>
          <t>Committed</t>
        </is>
      </c>
      <c r="N9" s="7" t="n">
        <v>5</v>
      </c>
      <c r="P9" s="6" t="inlineStr">
        <is>
          <t>Like MLM - your upline affects you:</t>
        </is>
      </c>
    </row>
    <row r="10">
      <c r="A10" s="7" t="inlineStr">
        <is>
          <t>L3-3</t>
        </is>
      </c>
      <c r="B10" s="9" t="inlineStr">
        <is>
          <t>Robert Martinez</t>
        </is>
      </c>
      <c r="C10" s="9" t="inlineStr">
        <is>
          <t>HR Director</t>
        </is>
      </c>
      <c r="D10" s="7" t="inlineStr">
        <is>
          <t>L2-1</t>
        </is>
      </c>
      <c r="E10" s="7" t="n">
        <v>2</v>
      </c>
      <c r="F10" s="7" t="n">
        <v>65</v>
      </c>
      <c r="G10" s="7" t="inlineStr">
        <is>
          <t>Buy-in</t>
        </is>
      </c>
      <c r="H10" s="7">
        <f>IF(D10="","",VLOOKUP(D10,$A$5:$K$50,7,FALSE))</f>
        <v/>
      </c>
      <c r="I10" s="7">
        <f>IF(H10="N/A (Top)",1,IF(OR(H10="Advocating",H10="Committed"),1.2,IF(H10="Buy-in",1.0,IF(H10="Understanding",0.85,IF(H10="Aware",0.7,0.5)))))</f>
        <v/>
      </c>
      <c r="J10" s="7">
        <f>IF(G10="","",MIN(6,ROUND(VLOOKUP(G10,$M$5:$N$10,2,FALSE)*I10,1)))</f>
        <v/>
      </c>
      <c r="K10" s="7">
        <f>IF(J10="","",ROUND((6-J10)*F10/50,1))</f>
        <v/>
      </c>
      <c r="M10" s="9" t="inlineStr">
        <is>
          <t>Advocating</t>
        </is>
      </c>
      <c r="N10" s="7" t="n">
        <v>6</v>
      </c>
      <c r="P10" s="6" t="inlineStr"/>
    </row>
    <row r="11">
      <c r="A11" s="7" t="inlineStr">
        <is>
          <t>L3-4</t>
        </is>
      </c>
      <c r="B11" s="9" t="inlineStr">
        <is>
          <t>Emily Brown</t>
        </is>
      </c>
      <c r="C11" s="9" t="inlineStr">
        <is>
          <t>IT Director</t>
        </is>
      </c>
      <c r="D11" s="7" t="inlineStr">
        <is>
          <t>L2-2</t>
        </is>
      </c>
      <c r="E11" s="7" t="n">
        <v>3</v>
      </c>
      <c r="F11" s="7" t="n">
        <v>85</v>
      </c>
      <c r="G11" s="7" t="inlineStr">
        <is>
          <t>Committed</t>
        </is>
      </c>
      <c r="H11" s="7">
        <f>IF(D11="","",VLOOKUP(D11,$A$5:$K$50,7,FALSE))</f>
        <v/>
      </c>
      <c r="I11" s="7">
        <f>IF(H11="N/A (Top)",1,IF(OR(H11="Advocating",H11="Committed"),1.2,IF(H11="Buy-in",1.0,IF(H11="Understanding",0.85,IF(H11="Aware",0.7,0.5)))))</f>
        <v/>
      </c>
      <c r="J11" s="7">
        <f>IF(G11="","",MIN(6,ROUND(VLOOKUP(G11,$M$5:$N$10,2,FALSE)*I11,1)))</f>
        <v/>
      </c>
      <c r="K11" s="7">
        <f>IF(J11="","",ROUND((6-J11)*F11/50,1))</f>
        <v/>
      </c>
      <c r="P11" s="6" t="inlineStr">
        <is>
          <t>Strong leader (Committed+):</t>
        </is>
      </c>
    </row>
    <row r="12">
      <c r="A12" s="7" t="inlineStr">
        <is>
          <t>L3-5</t>
        </is>
      </c>
      <c r="B12" s="9" t="inlineStr">
        <is>
          <t>Chris Lee</t>
        </is>
      </c>
      <c r="C12" s="9" t="inlineStr">
        <is>
          <t>Training Manager</t>
        </is>
      </c>
      <c r="D12" s="7" t="inlineStr">
        <is>
          <t>L2-2</t>
        </is>
      </c>
      <c r="E12" s="7" t="n">
        <v>1</v>
      </c>
      <c r="F12" s="7" t="n">
        <v>50</v>
      </c>
      <c r="G12" s="7" t="inlineStr">
        <is>
          <t>Advocating</t>
        </is>
      </c>
      <c r="H12" s="7">
        <f>IF(D12="","",VLOOKUP(D12,$A$5:$K$50,7,FALSE))</f>
        <v/>
      </c>
      <c r="I12" s="7">
        <f>IF(H12="N/A (Top)",1,IF(OR(H12="Advocating",H12="Committed"),1.2,IF(H12="Buy-in",1.0,IF(H12="Understanding",0.85,IF(H12="Aware",0.7,0.5)))))</f>
        <v/>
      </c>
      <c r="J12" s="7">
        <f>IF(G12="","",MIN(6,ROUND(VLOOKUP(G12,$M$5:$N$10,2,FALSE)*I12,1)))</f>
        <v/>
      </c>
      <c r="K12" s="7">
        <f>IF(J12="","",ROUND((6-J12)*F12/50,1))</f>
        <v/>
      </c>
      <c r="M12" s="11" t="inlineStr">
        <is>
          <t>CASCADE MODIFIERS</t>
        </is>
      </c>
      <c r="P12" s="6" t="inlineStr">
        <is>
          <t xml:space="preserve">  → 1.2x boost to your team</t>
        </is>
      </c>
    </row>
    <row r="13">
      <c r="A13" s="7" t="inlineStr">
        <is>
          <t>L4-1</t>
        </is>
      </c>
      <c r="B13" s="9" t="inlineStr">
        <is>
          <t>Amanda Foster</t>
        </is>
      </c>
      <c r="C13" s="9" t="inlineStr">
        <is>
          <t>Ops Manager A</t>
        </is>
      </c>
      <c r="D13" s="7" t="inlineStr">
        <is>
          <t>L3-1</t>
        </is>
      </c>
      <c r="E13" s="7" t="n">
        <v>2</v>
      </c>
      <c r="F13" s="7" t="n">
        <v>80</v>
      </c>
      <c r="G13" s="7" t="inlineStr">
        <is>
          <t>Aware</t>
        </is>
      </c>
      <c r="H13" s="7">
        <f>IF(D13="","",VLOOKUP(D13,$A$5:$K$50,7,FALSE))</f>
        <v/>
      </c>
      <c r="I13" s="7">
        <f>IF(H13="N/A (Top)",1,IF(OR(H13="Advocating",H13="Committed"),1.2,IF(H13="Buy-in",1.0,IF(H13="Understanding",0.85,IF(H13="Aware",0.7,0.5)))))</f>
        <v/>
      </c>
      <c r="J13" s="7">
        <f>IF(G13="","",MIN(6,ROUND(VLOOKUP(G13,$M$5:$N$10,2,FALSE)*I13,1)))</f>
        <v/>
      </c>
      <c r="K13" s="7">
        <f>IF(J13="","",ROUND((6-J13)*F13/50,1))</f>
        <v/>
      </c>
      <c r="M13" s="5" t="inlineStr">
        <is>
          <t>Leader State</t>
        </is>
      </c>
      <c r="N13" s="5" t="inlineStr">
        <is>
          <t>Modifier</t>
        </is>
      </c>
      <c r="P13" s="6" t="inlineStr"/>
    </row>
    <row r="14">
      <c r="A14" s="7" t="inlineStr">
        <is>
          <t>L4-2</t>
        </is>
      </c>
      <c r="B14" s="9" t="inlineStr">
        <is>
          <t>James Wilson</t>
        </is>
      </c>
      <c r="C14" s="9" t="inlineStr">
        <is>
          <t>Ops Manager B</t>
        </is>
      </c>
      <c r="D14" s="7" t="inlineStr">
        <is>
          <t>L3-1</t>
        </is>
      </c>
      <c r="E14" s="7" t="n">
        <v>2</v>
      </c>
      <c r="F14" s="7" t="n">
        <v>70</v>
      </c>
      <c r="G14" s="7" t="inlineStr">
        <is>
          <t>Understanding</t>
        </is>
      </c>
      <c r="H14" s="7">
        <f>IF(D14="","",VLOOKUP(D14,$A$5:$K$50,7,FALSE))</f>
        <v/>
      </c>
      <c r="I14" s="7">
        <f>IF(H14="N/A (Top)",1,IF(OR(H14="Advocating",H14="Committed"),1.2,IF(H14="Buy-in",1.0,IF(H14="Understanding",0.85,IF(H14="Aware",0.7,0.5)))))</f>
        <v/>
      </c>
      <c r="J14" s="7">
        <f>IF(G14="","",MIN(6,ROUND(VLOOKUP(G14,$M$5:$N$10,2,FALSE)*I14,1)))</f>
        <v/>
      </c>
      <c r="K14" s="7">
        <f>IF(J14="","",ROUND((6-J14)*F14/50,1))</f>
        <v/>
      </c>
      <c r="M14" s="9" t="inlineStr">
        <is>
          <t>Advocating/Committed</t>
        </is>
      </c>
      <c r="N14" s="7" t="inlineStr">
        <is>
          <t>1.2x (Boost)</t>
        </is>
      </c>
      <c r="P14" s="6" t="inlineStr">
        <is>
          <t>Weak leader (Aware/Unaware):</t>
        </is>
      </c>
    </row>
    <row r="15">
      <c r="A15" s="7" t="inlineStr">
        <is>
          <t>L4-3</t>
        </is>
      </c>
      <c r="B15" s="9" t="inlineStr">
        <is>
          <t>Tom Harris</t>
        </is>
      </c>
      <c r="C15" s="9" t="inlineStr">
        <is>
          <t>Ops Manager C</t>
        </is>
      </c>
      <c r="D15" s="7" t="inlineStr">
        <is>
          <t>L3-1</t>
        </is>
      </c>
      <c r="E15" s="7" t="n">
        <v>1</v>
      </c>
      <c r="F15" s="7" t="n">
        <v>30</v>
      </c>
      <c r="G15" s="7" t="inlineStr">
        <is>
          <t>Buy-in</t>
        </is>
      </c>
      <c r="H15" s="7">
        <f>IF(D15="","",VLOOKUP(D15,$A$5:$K$50,7,FALSE))</f>
        <v/>
      </c>
      <c r="I15" s="7">
        <f>IF(H15="N/A (Top)",1,IF(OR(H15="Advocating",H15="Committed"),1.2,IF(H15="Buy-in",1.0,IF(H15="Understanding",0.85,IF(H15="Aware",0.7,0.5)))))</f>
        <v/>
      </c>
      <c r="J15" s="7">
        <f>IF(G15="","",MIN(6,ROUND(VLOOKUP(G15,$M$5:$N$10,2,FALSE)*I15,1)))</f>
        <v/>
      </c>
      <c r="K15" s="7">
        <f>IF(J15="","",ROUND((6-J15)*F15/50,1))</f>
        <v/>
      </c>
      <c r="M15" s="9" t="inlineStr">
        <is>
          <t>Buy-in</t>
        </is>
      </c>
      <c r="N15" s="7" t="inlineStr">
        <is>
          <t>1.0x (Neutral)</t>
        </is>
      </c>
      <c r="P15" s="6" t="inlineStr">
        <is>
          <t xml:space="preserve">  → 0.5-0.7x drag on your team</t>
        </is>
      </c>
    </row>
    <row r="16">
      <c r="A16" s="7" t="inlineStr">
        <is>
          <t>L4-4</t>
        </is>
      </c>
      <c r="B16" s="9" t="inlineStr">
        <is>
          <t>Nancy Clark</t>
        </is>
      </c>
      <c r="C16" s="9" t="inlineStr">
        <is>
          <t>Ops Manager D</t>
        </is>
      </c>
      <c r="D16" s="7" t="inlineStr">
        <is>
          <t>L3-1</t>
        </is>
      </c>
      <c r="E16" s="7" t="n">
        <v>1</v>
      </c>
      <c r="F16" s="7" t="n">
        <v>15</v>
      </c>
      <c r="G16" s="7" t="inlineStr">
        <is>
          <t>Unaware</t>
        </is>
      </c>
      <c r="H16" s="7">
        <f>IF(D16="","",VLOOKUP(D16,$A$5:$K$50,7,FALSE))</f>
        <v/>
      </c>
      <c r="I16" s="7">
        <f>IF(H16="N/A (Top)",1,IF(OR(H16="Advocating",H16="Committed"),1.2,IF(H16="Buy-in",1.0,IF(H16="Understanding",0.85,IF(H16="Aware",0.7,0.5)))))</f>
        <v/>
      </c>
      <c r="J16" s="7">
        <f>IF(G16="","",MIN(6,ROUND(VLOOKUP(G16,$M$5:$N$10,2,FALSE)*I16,1)))</f>
        <v/>
      </c>
      <c r="K16" s="7">
        <f>IF(J16="","",ROUND((6-J16)*F16/50,1))</f>
        <v/>
      </c>
      <c r="M16" s="9" t="inlineStr">
        <is>
          <t>Understanding</t>
        </is>
      </c>
      <c r="N16" s="7" t="inlineStr">
        <is>
          <t>0.85x (Drag)</t>
        </is>
      </c>
      <c r="P16" s="6" t="inlineStr"/>
    </row>
    <row r="17">
      <c r="A17" s="7" t="inlineStr">
        <is>
          <t>L4-5</t>
        </is>
      </c>
      <c r="B17" s="9" t="inlineStr">
        <is>
          <t>Finance Manager</t>
        </is>
      </c>
      <c r="C17" s="9" t="inlineStr">
        <is>
          <t>Finance Mgr</t>
        </is>
      </c>
      <c r="D17" s="7" t="inlineStr">
        <is>
          <t>L3-2</t>
        </is>
      </c>
      <c r="E17" s="7" t="n">
        <v>1</v>
      </c>
      <c r="F17" s="7" t="n">
        <v>35</v>
      </c>
      <c r="G17" s="7" t="inlineStr">
        <is>
          <t>Aware</t>
        </is>
      </c>
      <c r="H17" s="7">
        <f>IF(D17="","",VLOOKUP(D17,$A$5:$K$50,7,FALSE))</f>
        <v/>
      </c>
      <c r="I17" s="7">
        <f>IF(H17="N/A (Top)",1,IF(OR(H17="Advocating",H17="Committed"),1.2,IF(H17="Buy-in",1.0,IF(H17="Understanding",0.85,IF(H17="Aware",0.7,0.5)))))</f>
        <v/>
      </c>
      <c r="J17" s="7">
        <f>IF(G17="","",MIN(6,ROUND(VLOOKUP(G17,$M$5:$N$10,2,FALSE)*I17,1)))</f>
        <v/>
      </c>
      <c r="K17" s="7">
        <f>IF(J17="","",ROUND((6-J17)*F17/50,1))</f>
        <v/>
      </c>
      <c r="M17" s="9" t="inlineStr">
        <is>
          <t>Aware</t>
        </is>
      </c>
      <c r="N17" s="7" t="inlineStr">
        <is>
          <t>0.7x (Weak)</t>
        </is>
      </c>
      <c r="P17" s="6" t="inlineStr">
        <is>
          <t>Great middle manager can</t>
        </is>
      </c>
    </row>
    <row r="18">
      <c r="A18" s="7" t="inlineStr">
        <is>
          <t>L4-6</t>
        </is>
      </c>
      <c r="B18" s="9" t="inlineStr">
        <is>
          <t>Procurement Lead</t>
        </is>
      </c>
      <c r="C18" s="9" t="inlineStr">
        <is>
          <t>Procurement</t>
        </is>
      </c>
      <c r="D18" s="7" t="inlineStr">
        <is>
          <t>L3-2</t>
        </is>
      </c>
      <c r="E18" s="7" t="n">
        <v>0</v>
      </c>
      <c r="F18" s="7" t="n">
        <v>40</v>
      </c>
      <c r="G18" s="7" t="inlineStr">
        <is>
          <t>Understanding</t>
        </is>
      </c>
      <c r="H18" s="7">
        <f>IF(D18="","",VLOOKUP(D18,$A$5:$K$50,7,FALSE))</f>
        <v/>
      </c>
      <c r="I18" s="7">
        <f>IF(H18="N/A (Top)",1,IF(OR(H18="Advocating",H18="Committed"),1.2,IF(H18="Buy-in",1.0,IF(H18="Understanding",0.85,IF(H18="Aware",0.7,0.5)))))</f>
        <v/>
      </c>
      <c r="J18" s="7">
        <f>IF(G18="","",MIN(6,ROUND(VLOOKUP(G18,$M$5:$N$10,2,FALSE)*I18,1)))</f>
        <v/>
      </c>
      <c r="K18" s="7">
        <f>IF(J18="","",ROUND((6-J18)*F18/50,1))</f>
        <v/>
      </c>
      <c r="M18" s="9" t="inlineStr">
        <is>
          <t>Unaware</t>
        </is>
      </c>
      <c r="N18" s="7" t="inlineStr">
        <is>
          <t>0.5x (Failing)</t>
        </is>
      </c>
      <c r="P18" s="6" t="inlineStr">
        <is>
          <t>BUFFER their team from a</t>
        </is>
      </c>
    </row>
    <row r="19">
      <c r="A19" s="7" t="inlineStr">
        <is>
          <t>L4-7</t>
        </is>
      </c>
      <c r="B19" s="9" t="inlineStr">
        <is>
          <t>HR Manager</t>
        </is>
      </c>
      <c r="C19" s="9" t="inlineStr">
        <is>
          <t>HR Manager</t>
        </is>
      </c>
      <c r="D19" s="7" t="inlineStr">
        <is>
          <t>L3-3</t>
        </is>
      </c>
      <c r="E19" s="7" t="n">
        <v>1</v>
      </c>
      <c r="F19" s="7" t="n">
        <v>30</v>
      </c>
      <c r="G19" s="7" t="inlineStr">
        <is>
          <t>Buy-in</t>
        </is>
      </c>
      <c r="H19" s="7">
        <f>IF(D19="","",VLOOKUP(D19,$A$5:$K$50,7,FALSE))</f>
        <v/>
      </c>
      <c r="I19" s="7">
        <f>IF(H19="N/A (Top)",1,IF(OR(H19="Advocating",H19="Committed"),1.2,IF(H19="Buy-in",1.0,IF(H19="Understanding",0.85,IF(H19="Aware",0.7,0.5)))))</f>
        <v/>
      </c>
      <c r="J19" s="7">
        <f>IF(G19="","",MIN(6,ROUND(VLOOKUP(G19,$M$5:$N$10,2,FALSE)*I19,1)))</f>
        <v/>
      </c>
      <c r="K19" s="7">
        <f>IF(J19="","",ROUND((6-J19)*F19/50,1))</f>
        <v/>
      </c>
      <c r="P19" s="6" t="inlineStr">
        <is>
          <t>weak leader above them.</t>
        </is>
      </c>
    </row>
    <row r="20">
      <c r="A20" s="7" t="inlineStr">
        <is>
          <t>L4-8</t>
        </is>
      </c>
      <c r="B20" s="9" t="inlineStr">
        <is>
          <t>Training Lead</t>
        </is>
      </c>
      <c r="C20" s="9" t="inlineStr">
        <is>
          <t>Training Lead</t>
        </is>
      </c>
      <c r="D20" s="7" t="inlineStr">
        <is>
          <t>L3-3</t>
        </is>
      </c>
      <c r="E20" s="7" t="n">
        <v>0</v>
      </c>
      <c r="F20" s="7" t="n">
        <v>30</v>
      </c>
      <c r="G20" s="7" t="inlineStr">
        <is>
          <t>Committed</t>
        </is>
      </c>
      <c r="H20" s="7">
        <f>IF(D20="","",VLOOKUP(D20,$A$5:$K$50,7,FALSE))</f>
        <v/>
      </c>
      <c r="I20" s="7">
        <f>IF(H20="N/A (Top)",1,IF(OR(H20="Advocating",H20="Committed"),1.2,IF(H20="Buy-in",1.0,IF(H20="Understanding",0.85,IF(H20="Aware",0.7,0.5)))))</f>
        <v/>
      </c>
      <c r="J20" s="7">
        <f>IF(G20="","",MIN(6,ROUND(VLOOKUP(G20,$M$5:$N$10,2,FALSE)*I20,1)))</f>
        <v/>
      </c>
      <c r="K20" s="7">
        <f>IF(J20="","",ROUND((6-J20)*F20/50,1))</f>
        <v/>
      </c>
    </row>
    <row r="21">
      <c r="A21" s="7" t="inlineStr">
        <is>
          <t>L4-9</t>
        </is>
      </c>
      <c r="B21" s="9" t="inlineStr">
        <is>
          <t>IT Support Lead</t>
        </is>
      </c>
      <c r="C21" s="9" t="inlineStr">
        <is>
          <t>IT Support Mgr</t>
        </is>
      </c>
      <c r="D21" s="7" t="inlineStr">
        <is>
          <t>L3-4</t>
        </is>
      </c>
      <c r="E21" s="7" t="n">
        <v>2</v>
      </c>
      <c r="F21" s="7" t="n">
        <v>50</v>
      </c>
      <c r="G21" s="7" t="inlineStr">
        <is>
          <t>Committed</t>
        </is>
      </c>
      <c r="H21" s="7">
        <f>IF(D21="","",VLOOKUP(D21,$A$5:$K$50,7,FALSE))</f>
        <v/>
      </c>
      <c r="I21" s="7">
        <f>IF(H21="N/A (Top)",1,IF(OR(H21="Advocating",H21="Committed"),1.2,IF(H21="Buy-in",1.0,IF(H21="Understanding",0.85,IF(H21="Aware",0.7,0.5)))))</f>
        <v/>
      </c>
      <c r="J21" s="7">
        <f>IF(G21="","",MIN(6,ROUND(VLOOKUP(G21,$M$5:$N$10,2,FALSE)*I21,1)))</f>
        <v/>
      </c>
      <c r="K21" s="7">
        <f>IF(J21="","",ROUND((6-J21)*F21/50,1))</f>
        <v/>
      </c>
      <c r="P21" s="4" t="inlineStr">
        <is>
          <t>KEY COLUMNS</t>
        </is>
      </c>
    </row>
    <row r="22">
      <c r="A22" s="7" t="inlineStr">
        <is>
          <t>L4-10</t>
        </is>
      </c>
      <c r="B22" s="9" t="inlineStr">
        <is>
          <t>Dev Team Lead</t>
        </is>
      </c>
      <c r="C22" s="9" t="inlineStr">
        <is>
          <t>Dev Manager</t>
        </is>
      </c>
      <c r="D22" s="7" t="inlineStr">
        <is>
          <t>L3-4</t>
        </is>
      </c>
      <c r="E22" s="7" t="n">
        <v>1</v>
      </c>
      <c r="F22" s="7" t="n">
        <v>20</v>
      </c>
      <c r="G22" s="7" t="inlineStr">
        <is>
          <t>Buy-in</t>
        </is>
      </c>
      <c r="H22" s="7">
        <f>IF(D22="","",VLOOKUP(D22,$A$5:$K$50,7,FALSE))</f>
        <v/>
      </c>
      <c r="I22" s="7">
        <f>IF(H22="N/A (Top)",1,IF(OR(H22="Advocating",H22="Committed"),1.2,IF(H22="Buy-in",1.0,IF(H22="Understanding",0.85,IF(H22="Aware",0.7,0.5)))))</f>
        <v/>
      </c>
      <c r="J22" s="7">
        <f>IF(G22="","",MIN(6,ROUND(VLOOKUP(G22,$M$5:$N$10,2,FALSE)*I22,1)))</f>
        <v/>
      </c>
      <c r="K22" s="7">
        <f>IF(J22="","",ROUND((6-J22)*F22/50,1))</f>
        <v/>
      </c>
      <c r="P22" s="6" t="inlineStr">
        <is>
          <t>Reports To: Parent's ID</t>
        </is>
      </c>
    </row>
    <row r="23">
      <c r="A23" s="7" t="inlineStr">
        <is>
          <t>L4-11</t>
        </is>
      </c>
      <c r="B23" s="9" t="inlineStr">
        <is>
          <t>Infra Lead</t>
        </is>
      </c>
      <c r="C23" s="9" t="inlineStr">
        <is>
          <t>Infra Manager</t>
        </is>
      </c>
      <c r="D23" s="7" t="inlineStr">
        <is>
          <t>L3-4</t>
        </is>
      </c>
      <c r="E23" s="7" t="n">
        <v>0</v>
      </c>
      <c r="F23" s="7" t="n">
        <v>10</v>
      </c>
      <c r="G23" s="7" t="inlineStr">
        <is>
          <t>Understanding</t>
        </is>
      </c>
      <c r="H23" s="7">
        <f>IF(D23="","",VLOOKUP(D23,$A$5:$K$50,7,FALSE))</f>
        <v/>
      </c>
      <c r="I23" s="7">
        <f>IF(H23="N/A (Top)",1,IF(OR(H23="Advocating",H23="Committed"),1.2,IF(H23="Buy-in",1.0,IF(H23="Understanding",0.85,IF(H23="Aware",0.7,0.5)))))</f>
        <v/>
      </c>
      <c r="J23" s="7">
        <f>IF(G23="","",MIN(6,ROUND(VLOOKUP(G23,$M$5:$N$10,2,FALSE)*I23,1)))</f>
        <v/>
      </c>
      <c r="K23" s="7">
        <f>IF(J23="","",ROUND((6-J23)*F23/50,1))</f>
        <v/>
      </c>
      <c r="P23" s="6" t="inlineStr">
        <is>
          <t>Total Under: All subordinates</t>
        </is>
      </c>
    </row>
    <row r="24">
      <c r="A24" s="7" t="inlineStr">
        <is>
          <t>L5-1</t>
        </is>
      </c>
      <c r="B24" s="9" t="inlineStr">
        <is>
          <t>Team A Supervisor</t>
        </is>
      </c>
      <c r="C24" s="9" t="inlineStr">
        <is>
          <t>Supervisor</t>
        </is>
      </c>
      <c r="D24" s="7" t="inlineStr">
        <is>
          <t>L4-1</t>
        </is>
      </c>
      <c r="E24" s="7" t="n">
        <v>0</v>
      </c>
      <c r="F24" s="7" t="n">
        <v>40</v>
      </c>
      <c r="G24" s="7" t="inlineStr">
        <is>
          <t>Unaware</t>
        </is>
      </c>
      <c r="H24" s="7">
        <f>IF(D24="","",VLOOKUP(D24,$A$5:$K$50,7,FALSE))</f>
        <v/>
      </c>
      <c r="I24" s="7">
        <f>IF(H24="N/A (Top)",1,IF(OR(H24="Advocating",H24="Committed"),1.2,IF(H24="Buy-in",1.0,IF(H24="Understanding",0.85,IF(H24="Aware",0.7,0.5)))))</f>
        <v/>
      </c>
      <c r="J24" s="7">
        <f>IF(G24="","",MIN(6,ROUND(VLOOKUP(G24,$M$5:$N$10,2,FALSE)*I24,1)))</f>
        <v/>
      </c>
      <c r="K24" s="7">
        <f>IF(J24="","",ROUND((6-J24)*F24/50,1))</f>
        <v/>
      </c>
      <c r="P24" s="6" t="inlineStr">
        <is>
          <t>Leader State: Your boss's state</t>
        </is>
      </c>
    </row>
    <row r="25">
      <c r="A25" s="7" t="inlineStr">
        <is>
          <t>L5-2</t>
        </is>
      </c>
      <c r="B25" s="9" t="inlineStr">
        <is>
          <t>Team B Supervisor</t>
        </is>
      </c>
      <c r="C25" s="9" t="inlineStr">
        <is>
          <t>Supervisor</t>
        </is>
      </c>
      <c r="D25" s="7" t="inlineStr">
        <is>
          <t>L4-1</t>
        </is>
      </c>
      <c r="E25" s="7" t="n">
        <v>0</v>
      </c>
      <c r="F25" s="7" t="n">
        <v>35</v>
      </c>
      <c r="G25" s="7" t="inlineStr">
        <is>
          <t>Aware</t>
        </is>
      </c>
      <c r="H25" s="7">
        <f>IF(D25="","",VLOOKUP(D25,$A$5:$K$50,7,FALSE))</f>
        <v/>
      </c>
      <c r="I25" s="7">
        <f>IF(H25="N/A (Top)",1,IF(OR(H25="Advocating",H25="Committed"),1.2,IF(H25="Buy-in",1.0,IF(H25="Understanding",0.85,IF(H25="Aware",0.7,0.5)))))</f>
        <v/>
      </c>
      <c r="J25" s="7">
        <f>IF(G25="","",MIN(6,ROUND(VLOOKUP(G25,$M$5:$N$10,2,FALSE)*I25,1)))</f>
        <v/>
      </c>
      <c r="K25" s="7">
        <f>IF(J25="","",ROUND((6-J25)*F25/50,1))</f>
        <v/>
      </c>
      <c r="P25" s="6" t="inlineStr">
        <is>
          <t>Cascade Modifier: Boost/drag</t>
        </is>
      </c>
    </row>
    <row r="26">
      <c r="A26" s="7" t="inlineStr">
        <is>
          <t>L5-3</t>
        </is>
      </c>
      <c r="B26" s="9" t="inlineStr">
        <is>
          <t>Team C Supervisor</t>
        </is>
      </c>
      <c r="C26" s="9" t="inlineStr">
        <is>
          <t>Supervisor</t>
        </is>
      </c>
      <c r="D26" s="7" t="inlineStr">
        <is>
          <t>L4-2</t>
        </is>
      </c>
      <c r="E26" s="7" t="n">
        <v>0</v>
      </c>
      <c r="F26" s="7" t="n">
        <v>35</v>
      </c>
      <c r="G26" s="7" t="inlineStr">
        <is>
          <t>Understanding</t>
        </is>
      </c>
      <c r="H26" s="7">
        <f>IF(D26="","",VLOOKUP(D26,$A$5:$K$50,7,FALSE))</f>
        <v/>
      </c>
      <c r="I26" s="7">
        <f>IF(H26="N/A (Top)",1,IF(OR(H26="Advocating",H26="Committed"),1.2,IF(H26="Buy-in",1.0,IF(H26="Understanding",0.85,IF(H26="Aware",0.7,0.5)))))</f>
        <v/>
      </c>
      <c r="J26" s="7">
        <f>IF(G26="","",MIN(6,ROUND(VLOOKUP(G26,$M$5:$N$10,2,FALSE)*I26,1)))</f>
        <v/>
      </c>
      <c r="K26" s="7">
        <f>IF(J26="","",ROUND((6-J26)*F26/50,1))</f>
        <v/>
      </c>
      <c r="P26" s="6" t="inlineStr">
        <is>
          <t>Effective State: Your adjusted state</t>
        </is>
      </c>
    </row>
    <row r="27">
      <c r="A27" s="7" t="inlineStr">
        <is>
          <t>L5-4</t>
        </is>
      </c>
      <c r="B27" s="9" t="inlineStr">
        <is>
          <t>Team D Supervisor</t>
        </is>
      </c>
      <c r="C27" s="9" t="inlineStr">
        <is>
          <t>Supervisor</t>
        </is>
      </c>
      <c r="D27" s="7" t="inlineStr">
        <is>
          <t>L4-2</t>
        </is>
      </c>
      <c r="E27" s="7" t="n">
        <v>0</v>
      </c>
      <c r="F27" s="7" t="n">
        <v>30</v>
      </c>
      <c r="G27" s="7" t="inlineStr">
        <is>
          <t>Aware</t>
        </is>
      </c>
      <c r="H27" s="7">
        <f>IF(D27="","",VLOOKUP(D27,$A$5:$K$50,7,FALSE))</f>
        <v/>
      </c>
      <c r="I27" s="7">
        <f>IF(H27="N/A (Top)",1,IF(OR(H27="Advocating",H27="Committed"),1.2,IF(H27="Buy-in",1.0,IF(H27="Understanding",0.85,IF(H27="Aware",0.7,0.5)))))</f>
        <v/>
      </c>
      <c r="J27" s="7">
        <f>IF(G27="","",MIN(6,ROUND(VLOOKUP(G27,$M$5:$N$10,2,FALSE)*I27,1)))</f>
        <v/>
      </c>
      <c r="K27" s="7">
        <f>IF(J27="","",ROUND((6-J27)*F27/50,1))</f>
        <v/>
      </c>
      <c r="P27" s="6" t="inlineStr">
        <is>
          <t>Impact Score: Risk contribution</t>
        </is>
      </c>
    </row>
    <row r="29">
      <c r="P29" s="4" t="inlineStr">
        <is>
          <t>HOW TO USE</t>
        </is>
      </c>
    </row>
    <row r="30">
      <c r="A30" s="13" t="inlineStr">
        <is>
          <t>CASCADE IMPACT SUMMARY</t>
        </is>
      </c>
      <c r="D30" s="11" t="inlineStr">
        <is>
          <t>HIERARCHY VISUALIZATION</t>
        </is>
      </c>
      <c r="P30" s="6" t="inlineStr">
        <is>
          <t>1. Map your org hierarchy (IDs)</t>
        </is>
      </c>
    </row>
    <row r="31">
      <c r="A31" s="17" t="inlineStr">
        <is>
          <t>Total Organization Size</t>
        </is>
      </c>
      <c r="B31" s="7">
        <f>SUM(F5:F27)</f>
        <v/>
      </c>
      <c r="D31" s="18" t="inlineStr">
        <is>
          <t>L1 (CEO)</t>
        </is>
      </c>
      <c r="P31" s="6" t="inlineStr">
        <is>
          <t>2. Enter current states</t>
        </is>
      </c>
    </row>
    <row r="32">
      <c r="A32" s="17" t="inlineStr">
        <is>
          <t>Avg Effective State</t>
        </is>
      </c>
      <c r="B32" s="7">
        <f>ROUND(AVERAGE(J5:J27),2)</f>
        <v/>
      </c>
      <c r="D32" s="18" t="inlineStr">
        <is>
          <t>├── L2-1 (VP Ops)</t>
        </is>
      </c>
      <c r="P32" s="6" t="inlineStr">
        <is>
          <t>3. Review cascade modifiers</t>
        </is>
      </c>
    </row>
    <row r="33">
      <c r="A33" s="17" t="inlineStr">
        <is>
          <t>Total Impact Score</t>
        </is>
      </c>
      <c r="B33" s="7">
        <f>SUM(K5:K27)</f>
        <v/>
      </c>
      <c r="D33" s="18" t="inlineStr">
        <is>
          <t>│   ├── L3-1 (Ops Dir) ← WEAK</t>
        </is>
      </c>
      <c r="P33" s="6" t="inlineStr">
        <is>
          <t>4. Identify weak links</t>
        </is>
      </c>
    </row>
    <row r="34">
      <c r="A34" s="17" t="inlineStr">
        <is>
          <t>High Risk Leaders (Impact&gt;5)</t>
        </is>
      </c>
      <c r="B34" s="7">
        <f>COUNTIF(K5:K27,"&gt;5")</f>
        <v/>
      </c>
      <c r="D34" s="18" t="inlineStr">
        <is>
          <t>│   │   ├── L4-1, L4-2, L4-3, L4-4</t>
        </is>
      </c>
      <c r="P34" s="6" t="inlineStr">
        <is>
          <t>5. Target interventions</t>
        </is>
      </c>
    </row>
    <row r="35">
      <c r="A35" s="17" t="inlineStr">
        <is>
          <t>Weak Links (Eff State&lt;3)</t>
        </is>
      </c>
      <c r="B35" s="7">
        <f>COUNTIF(J5:J27,"&lt;3")</f>
        <v/>
      </c>
      <c r="D35" s="18" t="inlineStr">
        <is>
          <t>│   │   └── L5-1, L5-2, L5-3, L5-4</t>
        </is>
      </c>
    </row>
    <row r="36">
      <c r="A36" s="17" t="inlineStr">
        <is>
          <t>Strong Multipliers (Mod&gt;=1.2)</t>
        </is>
      </c>
      <c r="B36" s="7">
        <f>COUNTIF(I5:I27,"&gt;=1.2")</f>
        <v/>
      </c>
      <c r="D36" s="18" t="inlineStr">
        <is>
          <t>│   ├── L3-2 (Finance)</t>
        </is>
      </c>
      <c r="P36" s="4" t="inlineStr">
        <is>
          <t>TIP</t>
        </is>
      </c>
    </row>
    <row r="37">
      <c r="A37" s="17" t="inlineStr">
        <is>
          <t>Cascade Drag (Mod&lt;1)</t>
        </is>
      </c>
      <c r="B37" s="7">
        <f>COUNTIF(I5:I27,"&lt;1")</f>
        <v/>
      </c>
      <c r="D37" s="18" t="inlineStr">
        <is>
          <t>│   └── L3-3 (HR)</t>
        </is>
      </c>
      <c r="P37" s="6" t="inlineStr">
        <is>
          <t>Focus on leaders with high</t>
        </is>
      </c>
    </row>
    <row r="38">
      <c r="D38" s="18" t="inlineStr">
        <is>
          <t>└── L2-2 (VP IT) ← STRONG</t>
        </is>
      </c>
      <c r="P38" s="6" t="inlineStr">
        <is>
          <t>Impact Score - they affect</t>
        </is>
      </c>
    </row>
    <row r="39">
      <c r="D39" s="18" t="inlineStr">
        <is>
          <t xml:space="preserve">    ├── L3-4 (IT Dir)</t>
        </is>
      </c>
      <c r="P39" s="6" t="inlineStr">
        <is>
          <t>the most people downstream.</t>
        </is>
      </c>
    </row>
    <row r="40">
      <c r="D40" s="18" t="inlineStr">
        <is>
          <t xml:space="preserve">    └── L3-5 (Training) ← BUFFER</t>
        </is>
      </c>
    </row>
  </sheetData>
  <mergeCells count="2">
    <mergeCell ref="A1:J1"/>
    <mergeCell ref="P1:Q1"/>
  </mergeCells>
  <dataValidations count="1">
    <dataValidation sqref="G5:G50" showDropDown="0" showInputMessage="0" showErrorMessage="0" allowBlank="1" type="list">
      <formula1>"Unaware,Aware,Understanding,Buy-in,Committed,Advocating"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39"/>
  <sheetViews>
    <sheetView workbookViewId="0">
      <pane xSplit="8" topLeftCell="I1" activePane="topRight" state="frozen"/>
      <selection pane="topRight"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20" customWidth="1" min="4" max="4"/>
    <col width="16" customWidth="1" min="5" max="5"/>
    <col width="16" customWidth="1" min="6" max="6"/>
    <col width="16" customWidth="1" min="7" max="7"/>
    <col width="45" customWidth="1" min="9" max="9"/>
  </cols>
  <sheetData>
    <row r="1">
      <c r="A1" s="15" t="inlineStr">
        <is>
          <t>ORGANIZATIONAL CASCADE RISK ANALYSIS</t>
        </is>
      </c>
      <c r="I1" s="2" t="inlineStr">
        <is>
          <t>INSTRUCTIONS</t>
        </is>
      </c>
    </row>
    <row r="3">
      <c r="A3" s="3" t="inlineStr">
        <is>
          <t>HIERARCHY CASCADE MODEL</t>
        </is>
      </c>
      <c r="I3" s="4" t="inlineStr">
        <is>
          <t>PURPOSE</t>
        </is>
      </c>
    </row>
    <row r="4">
      <c r="A4" s="5" t="inlineStr">
        <is>
          <t>Level</t>
        </is>
      </c>
      <c r="B4" s="5" t="inlineStr">
        <is>
          <t>Role Type</t>
        </is>
      </c>
      <c r="C4" s="5" t="inlineStr">
        <is>
          <t>Typical Headcount</t>
        </is>
      </c>
      <c r="D4" s="5" t="inlineStr">
        <is>
          <t>Time to Cascade (wks)</t>
        </is>
      </c>
      <c r="E4" s="5" t="inlineStr">
        <is>
          <t>Cumulative Time</t>
        </is>
      </c>
      <c r="F4" s="5" t="inlineStr">
        <is>
          <t>Dilution Factor</t>
        </is>
      </c>
      <c r="G4" s="5" t="inlineStr">
        <is>
          <t>Cascade Health</t>
        </is>
      </c>
      <c r="I4" s="6" t="inlineStr">
        <is>
          <t>Model how change cascades</t>
        </is>
      </c>
    </row>
    <row r="5">
      <c r="A5" s="7" t="n">
        <v>1</v>
      </c>
      <c r="B5" s="7" t="inlineStr">
        <is>
          <t>Executive Sponsor</t>
        </is>
      </c>
      <c r="C5" s="7">
        <f>SUMIF('Stakeholder Analysis'!B:B,"Executive Sponsor",'Stakeholder Analysis'!H:H)</f>
        <v/>
      </c>
      <c r="D5" s="7">
        <f>1+IF(C5&gt;1000,4,IF(C5&gt;500,3,IF(C5&gt;100,2,IF(C5&gt;50,1,0))))</f>
        <v/>
      </c>
      <c r="E5" s="7">
        <f>D5</f>
        <v/>
      </c>
      <c r="F5" s="7">
        <f>IF(A5&lt;=2,1,1+(A5-2)*0.1+IF(C5&gt;1000,0.3,IF(C5&gt;500,0.2,IF(C5&gt;100,0.1,0))))</f>
        <v/>
      </c>
      <c r="G5" s="7">
        <f>MAX(0,MIN(100,ROUND(100/'Stakeholder Analysis'!V3*'Stakeholder Analysis'!V3/F5-(E5*2),0)))</f>
        <v/>
      </c>
      <c r="I5" s="6" t="inlineStr">
        <is>
          <t>through organizational layers</t>
        </is>
      </c>
    </row>
    <row r="6">
      <c r="A6" s="7" t="n">
        <v>2</v>
      </c>
      <c r="B6" s="7" t="inlineStr">
        <is>
          <t>Senior Leadership</t>
        </is>
      </c>
      <c r="C6" s="7">
        <f>SUMIF('Stakeholder Analysis'!B:B,"Senior Leadership",'Stakeholder Analysis'!H:H)</f>
        <v/>
      </c>
      <c r="D6" s="7">
        <f>2+IF(C6&gt;1000,4,IF(C6&gt;500,3,IF(C6&gt;100,2,IF(C6&gt;50,1,0))))</f>
        <v/>
      </c>
      <c r="E6" s="7">
        <f>E5+D6</f>
        <v/>
      </c>
      <c r="F6" s="7">
        <f>IF(A6&lt;=2,1,1+(A6-2)*0.1+IF(C6&gt;1000,0.3,IF(C6&gt;500,0.2,IF(C6&gt;100,0.1,0))))</f>
        <v/>
      </c>
      <c r="G6" s="7">
        <f>MAX(0,MIN(100,ROUND(100/'Stakeholder Analysis'!V3*'Stakeholder Analysis'!V3/F6-(E6*2),0)))</f>
        <v/>
      </c>
      <c r="I6" s="6" t="inlineStr">
        <is>
          <t>and where it may falter.</t>
        </is>
      </c>
    </row>
    <row r="7">
      <c r="A7" s="7" t="n">
        <v>3</v>
      </c>
      <c r="B7" s="7" t="inlineStr">
        <is>
          <t>Middle Manager</t>
        </is>
      </c>
      <c r="C7" s="7">
        <f>SUMIFS('Stakeholder Analysis'!H:H,'Stakeholder Analysis'!B:B,"Middle Manager")+SUMIFS('Stakeholder Analysis'!H:H,'Stakeholder Analysis'!B:B,"Finance/Procurement")+SUMIFS('Stakeholder Analysis'!H:H,'Stakeholder Analysis'!B:B,"Union Representative")</f>
        <v/>
      </c>
      <c r="D7" s="7">
        <f>3+IF(C7&gt;1000,4,IF(C7&gt;500,3,IF(C7&gt;100,2,IF(C7&gt;50,1,0))))</f>
        <v/>
      </c>
      <c r="E7" s="7">
        <f>E6+D7</f>
        <v/>
      </c>
      <c r="F7" s="7">
        <f>IF(A7&lt;=2,1,1+(A7-2)*0.1+IF(C7&gt;1000,0.3,IF(C7&gt;500,0.2,IF(C7&gt;100,0.1,0))))</f>
        <v/>
      </c>
      <c r="G7" s="7">
        <f>MAX(0,MIN(100,ROUND(100/'Stakeholder Analysis'!V3*'Stakeholder Analysis'!V3/F7-(E7*2),0)))</f>
        <v/>
      </c>
    </row>
    <row r="8">
      <c r="A8" s="7" t="n">
        <v>4</v>
      </c>
      <c r="B8" s="7" t="inlineStr">
        <is>
          <t>Front-line Supervisor</t>
        </is>
      </c>
      <c r="C8" s="7">
        <f>SUMIFS('Stakeholder Analysis'!H:H,'Stakeholder Analysis'!B:B,"Front-line Supervisor")+SUMIFS('Stakeholder Analysis'!H:H,'Stakeholder Analysis'!B:B,"IT Support Staff")+SUMIFS('Stakeholder Analysis'!H:H,'Stakeholder Analysis'!B:B,"HR/Training Team")</f>
        <v/>
      </c>
      <c r="D8" s="7">
        <f>4+IF(C8&gt;1000,4,IF(C8&gt;500,3,IF(C8&gt;100,2,IF(C8&gt;50,1,0))))</f>
        <v/>
      </c>
      <c r="E8" s="7">
        <f>E7+D8</f>
        <v/>
      </c>
      <c r="F8" s="7">
        <f>IF(A8&lt;=2,1,1+(A8-2)*0.1+IF(C8&gt;1000,0.3,IF(C8&gt;500,0.2,IF(C8&gt;100,0.1,0))))</f>
        <v/>
      </c>
      <c r="G8" s="7">
        <f>MAX(0,MIN(100,ROUND(100/'Stakeholder Analysis'!V3*'Stakeholder Analysis'!V3/F8-(E8*2),0)))</f>
        <v/>
      </c>
      <c r="I8" s="4" t="inlineStr">
        <is>
          <t>KEY CONCEPTS</t>
        </is>
      </c>
    </row>
    <row r="9">
      <c r="A9" s="7" t="n">
        <v>5</v>
      </c>
      <c r="B9" s="7" t="inlineStr">
        <is>
          <t>End Users &amp; Others</t>
        </is>
      </c>
      <c r="C9" s="7">
        <f>SUMIFS('Stakeholder Analysis'!H:H,'Stakeholder Analysis'!B:B,"End User (Heavy Impact)")+SUMIFS('Stakeholder Analysis'!H:H,'Stakeholder Analysis'!B:B,"End User (Light Impact)")+SUMIFS('Stakeholder Analysis'!H:H,'Stakeholder Analysis'!B:B,"External Partner")+SUMIFS('Stakeholder Analysis'!H:H,'Stakeholder Analysis'!B:B,"Customer")</f>
        <v/>
      </c>
      <c r="D9" s="7">
        <f>6+IF(C9&gt;1000,4,IF(C9&gt;500,3,IF(C9&gt;100,2,IF(C9&gt;50,1,0))))</f>
        <v/>
      </c>
      <c r="E9" s="7">
        <f>E8+D9</f>
        <v/>
      </c>
      <c r="F9" s="7">
        <f>IF(A9&lt;=2,1,1+(A9-2)*0.1+IF(C9&gt;1000,0.3,IF(C9&gt;500,0.2,IF(C9&gt;100,0.1,0))))</f>
        <v/>
      </c>
      <c r="G9" s="7">
        <f>MAX(0,MIN(100,ROUND(100/'Stakeholder Analysis'!V3*'Stakeholder Analysis'!V3/F9-(E9*2),0)))</f>
        <v/>
      </c>
      <c r="I9" s="6" t="inlineStr">
        <is>
          <t>Cascade Time: How long for</t>
        </is>
      </c>
    </row>
    <row r="10">
      <c r="I10" s="6" t="inlineStr">
        <is>
          <t xml:space="preserve">  change to reach each level</t>
        </is>
      </c>
    </row>
    <row r="11">
      <c r="A11" s="3" t="inlineStr">
        <is>
          <t>THE BODY FALTERS ANALYSIS</t>
        </is>
      </c>
      <c r="I11" s="6" t="inlineStr"/>
    </row>
    <row r="12">
      <c r="A12" s="16" t="inlineStr">
        <is>
          <t>Even when leadership is aligned, execution can falter in the middle layers.</t>
        </is>
      </c>
      <c r="I12" s="6" t="inlineStr">
        <is>
          <t>Dilution Factor: Message</t>
        </is>
      </c>
    </row>
    <row r="13">
      <c r="I13" s="6" t="inlineStr">
        <is>
          <t xml:space="preserve">  degradation through layers</t>
        </is>
      </c>
    </row>
    <row r="14">
      <c r="A14" s="5" t="inlineStr">
        <is>
          <t>Factor</t>
        </is>
      </c>
      <c r="B14" s="5" t="inlineStr">
        <is>
          <t>Current State</t>
        </is>
      </c>
      <c r="C14" s="5" t="inlineStr">
        <is>
          <t>Impact</t>
        </is>
      </c>
      <c r="D14" s="5" t="inlineStr">
        <is>
          <t>Mitigation Required</t>
        </is>
      </c>
      <c r="I14" s="6" t="inlineStr"/>
    </row>
    <row r="15">
      <c r="A15" s="9" t="inlineStr">
        <is>
          <t>Middle Management Buy-in</t>
        </is>
      </c>
      <c r="B15" s="9" t="inlineStr">
        <is>
          <t>Adequate</t>
        </is>
      </c>
      <c r="C15" s="9" t="inlineStr">
        <is>
          <t>High - Key transmission layer</t>
        </is>
      </c>
      <c r="D15" s="9" t="inlineStr">
        <is>
          <t>Dedicated manager engagement</t>
        </is>
      </c>
      <c r="I15" s="6" t="inlineStr">
        <is>
          <t>Cascade Health: Effectiveness</t>
        </is>
      </c>
    </row>
    <row r="16">
      <c r="A16" s="9" t="inlineStr">
        <is>
          <t>Communication Channel Clarity</t>
        </is>
      </c>
      <c r="B16" s="9" t="inlineStr">
        <is>
          <t>Weak</t>
        </is>
      </c>
      <c r="C16" s="9" t="inlineStr">
        <is>
          <t>Medium - Message consistency</t>
        </is>
      </c>
      <c r="D16" s="9" t="inlineStr">
        <is>
          <t>Cascade communication toolkit</t>
        </is>
      </c>
      <c r="I16" s="6" t="inlineStr">
        <is>
          <t xml:space="preserve">  of change transmission</t>
        </is>
      </c>
    </row>
    <row r="17">
      <c r="A17" s="9" t="inlineStr">
        <is>
          <t>Time Pressure on Managers</t>
        </is>
      </c>
      <c r="B17" s="9" t="inlineStr">
        <is>
          <t>Weak</t>
        </is>
      </c>
      <c r="C17" s="9" t="inlineStr">
        <is>
          <t>High - Competing priorities</t>
        </is>
      </c>
      <c r="D17" s="9" t="inlineStr">
        <is>
          <t>Protected time for change activities</t>
        </is>
      </c>
    </row>
    <row r="18">
      <c r="A18" s="9" t="inlineStr">
        <is>
          <t>Training Capacity</t>
        </is>
      </c>
      <c r="B18" s="9" t="inlineStr">
        <is>
          <t>Adequate</t>
        </is>
      </c>
      <c r="C18" s="9" t="inlineStr">
        <is>
          <t>Medium - Skill transfer ability</t>
        </is>
      </c>
      <c r="D18" s="9" t="inlineStr">
        <is>
          <t>Train-the-trainer program</t>
        </is>
      </c>
      <c r="I18" s="4" t="inlineStr">
        <is>
          <t>THE BODY FALTERS</t>
        </is>
      </c>
    </row>
    <row r="19">
      <c r="A19" s="9" t="inlineStr">
        <is>
          <t>Change Fatigue</t>
        </is>
      </c>
      <c r="B19" s="9" t="inlineStr">
        <is>
          <t>Strong</t>
        </is>
      </c>
      <c r="C19" s="9" t="inlineStr">
        <is>
          <t>High - Resistance amplification</t>
        </is>
      </c>
      <c r="D19" s="9" t="inlineStr">
        <is>
          <t>Phased rollout, quick wins</t>
        </is>
      </c>
      <c r="I19" s="6" t="inlineStr">
        <is>
          <t>Leadership commitment alone</t>
        </is>
      </c>
    </row>
    <row r="20">
      <c r="A20" s="9" t="inlineStr">
        <is>
          <t>Local Context Adaptation</t>
        </is>
      </c>
      <c r="B20" s="9" t="inlineStr">
        <is>
          <t>Adequate</t>
        </is>
      </c>
      <c r="C20" s="9" t="inlineStr">
        <is>
          <t>Medium - One-size-fits-all risk</t>
        </is>
      </c>
      <c r="D20" s="9" t="inlineStr">
        <is>
          <t>Flexible implementation guides</t>
        </is>
      </c>
      <c r="I20" s="6" t="inlineStr">
        <is>
          <t>doesn't guarantee execution.</t>
        </is>
      </c>
    </row>
    <row r="21">
      <c r="I21" s="6" t="inlineStr"/>
    </row>
    <row r="22">
      <c r="A22" s="3" t="inlineStr">
        <is>
          <t>CASCADE TIMELINE PROJECTION</t>
        </is>
      </c>
      <c r="I22" s="6" t="inlineStr">
        <is>
          <t>Middle layers must:</t>
        </is>
      </c>
    </row>
    <row r="23">
      <c r="A23" s="5" t="inlineStr">
        <is>
          <t>Milestone</t>
        </is>
      </c>
      <c r="B23" s="5" t="inlineStr">
        <is>
          <t>Week</t>
        </is>
      </c>
      <c r="C23" s="5" t="inlineStr">
        <is>
          <t>Target Level</t>
        </is>
      </c>
      <c r="D23" s="5" t="inlineStr">
        <is>
          <t>Expected Adoption %</t>
        </is>
      </c>
      <c r="E23" s="5" t="inlineStr">
        <is>
          <t>Risk Factor</t>
        </is>
      </c>
      <c r="I23" s="6" t="inlineStr">
        <is>
          <t>- Understand the why</t>
        </is>
      </c>
    </row>
    <row r="24">
      <c r="A24" s="9" t="inlineStr">
        <is>
          <t>Leadership Alignment</t>
        </is>
      </c>
      <c r="B24" s="7">
        <f>E5</f>
        <v/>
      </c>
      <c r="C24" s="7" t="inlineStr">
        <is>
          <t>Levels 1-2</t>
        </is>
      </c>
      <c r="D24" s="7" t="inlineStr">
        <is>
          <t>90%</t>
        </is>
      </c>
      <c r="E24" s="7" t="inlineStr">
        <is>
          <t>Low</t>
        </is>
      </c>
      <c r="I24" s="6" t="inlineStr">
        <is>
          <t>- Have capacity to act</t>
        </is>
      </c>
    </row>
    <row r="25">
      <c r="A25" s="9" t="inlineStr">
        <is>
          <t>Manager Engagement</t>
        </is>
      </c>
      <c r="B25" s="7">
        <f>E7</f>
        <v/>
      </c>
      <c r="C25" s="7" t="inlineStr">
        <is>
          <t>Level 3</t>
        </is>
      </c>
      <c r="D25" s="7" t="inlineStr">
        <is>
          <t>75%</t>
        </is>
      </c>
      <c r="E25" s="7" t="inlineStr">
        <is>
          <t>Medium</t>
        </is>
      </c>
      <c r="I25" s="6" t="inlineStr">
        <is>
          <t>- Be held accountable</t>
        </is>
      </c>
    </row>
    <row r="26">
      <c r="A26" s="9" t="inlineStr">
        <is>
          <t>Supervisor Cascade</t>
        </is>
      </c>
      <c r="B26" s="7">
        <f>E8</f>
        <v/>
      </c>
      <c r="C26" s="7" t="inlineStr">
        <is>
          <t>Level 4</t>
        </is>
      </c>
      <c r="D26" s="7" t="inlineStr">
        <is>
          <t>65%</t>
        </is>
      </c>
      <c r="E26" s="7" t="inlineStr">
        <is>
          <t>Medium-High</t>
        </is>
      </c>
      <c r="I26" s="6" t="inlineStr">
        <is>
          <t>- Receive ongoing support</t>
        </is>
      </c>
    </row>
    <row r="27">
      <c r="A27" s="9" t="inlineStr">
        <is>
          <t>Full Deployment</t>
        </is>
      </c>
      <c r="B27" s="7">
        <f>E9</f>
        <v/>
      </c>
      <c r="C27" s="7" t="inlineStr">
        <is>
          <t>Level 5</t>
        </is>
      </c>
      <c r="D27" s="7" t="inlineStr">
        <is>
          <t>55%</t>
        </is>
      </c>
      <c r="E27" s="7" t="inlineStr">
        <is>
          <t>High</t>
        </is>
      </c>
    </row>
    <row r="28">
      <c r="A28" s="9" t="inlineStr">
        <is>
          <t>Stabilization (+4 wks)</t>
        </is>
      </c>
      <c r="B28" s="7">
        <f>E9+4</f>
        <v/>
      </c>
      <c r="C28" s="7" t="inlineStr">
        <is>
          <t>All</t>
        </is>
      </c>
      <c r="D28" s="7" t="inlineStr">
        <is>
          <t>80%</t>
        </is>
      </c>
      <c r="E28" s="7" t="inlineStr">
        <is>
          <t>Medium</t>
        </is>
      </c>
      <c r="I28" s="4" t="inlineStr">
        <is>
          <t>USING THIS SHEET</t>
        </is>
      </c>
    </row>
    <row r="29">
      <c r="A29" s="9" t="inlineStr">
        <is>
          <t>Sustainment (+12 wks)</t>
        </is>
      </c>
      <c r="B29" s="7">
        <f>E9+12</f>
        <v/>
      </c>
      <c r="C29" s="7" t="inlineStr">
        <is>
          <t>All</t>
        </is>
      </c>
      <c r="D29" s="7" t="inlineStr">
        <is>
          <t>85%</t>
        </is>
      </c>
      <c r="E29" s="7" t="inlineStr">
        <is>
          <t>Low</t>
        </is>
      </c>
      <c r="I29" s="6" t="inlineStr">
        <is>
          <t>1. Review Stakeholder Analysis</t>
        </is>
      </c>
    </row>
    <row r="30">
      <c r="I30" s="6" t="inlineStr">
        <is>
          <t>2. Check hierarchy cascade times</t>
        </is>
      </c>
    </row>
    <row r="31">
      <c r="A31" s="3" t="inlineStr">
        <is>
          <t>SUMMARY METRICS</t>
        </is>
      </c>
      <c r="I31" s="6" t="inlineStr">
        <is>
          <t>3. Assess body falters factors</t>
        </is>
      </c>
    </row>
    <row r="32">
      <c r="A32" s="17" t="inlineStr">
        <is>
          <t>Total Cascade Time (weeks)</t>
        </is>
      </c>
      <c r="B32" s="7">
        <f>E9</f>
        <v/>
      </c>
      <c r="I32" s="6" t="inlineStr">
        <is>
          <t>4. Plan mitigation actions</t>
        </is>
      </c>
    </row>
    <row r="33">
      <c r="A33" s="17" t="inlineStr">
        <is>
          <t>Overall Dilution Factor</t>
        </is>
      </c>
      <c r="B33" s="7">
        <f>AVERAGE(F5:F9)</f>
        <v/>
      </c>
      <c r="I33" s="6" t="inlineStr">
        <is>
          <t>5. Set realistic timeline</t>
        </is>
      </c>
    </row>
    <row r="34">
      <c r="A34" s="17" t="inlineStr">
        <is>
          <t>Leadership Cascade Factor</t>
        </is>
      </c>
      <c r="B34" s="7">
        <f>'Stakeholder Analysis'!V3</f>
        <v/>
      </c>
    </row>
    <row r="35">
      <c r="A35" s="17" t="inlineStr">
        <is>
          <t>Estimated Final Adoption</t>
        </is>
      </c>
      <c r="B35" s="7">
        <f>IF('Stakeholder Analysis'!V3&lt;0.6,"85%+",IF('Stakeholder Analysis'!V3&lt;0.8,"70-85%","&lt;70%"))</f>
        <v/>
      </c>
      <c r="I35" s="4" t="inlineStr">
        <is>
          <t>TIP</t>
        </is>
      </c>
    </row>
    <row r="36">
      <c r="A36" s="17" t="inlineStr">
        <is>
          <t>Cascade Risk Rating</t>
        </is>
      </c>
      <c r="B36" s="7">
        <f>IF(E9&gt;20,"High",IF(E9&gt;12,"Medium","Low"))</f>
        <v/>
      </c>
      <c r="I36" s="6" t="inlineStr">
        <is>
          <t>If cascade time exceeds 16</t>
        </is>
      </c>
    </row>
    <row r="37">
      <c r="I37" s="6" t="inlineStr">
        <is>
          <t>weeks, consider parallel</t>
        </is>
      </c>
    </row>
    <row r="38">
      <c r="I38" s="6" t="inlineStr">
        <is>
          <t>tracks or direct skip-level</t>
        </is>
      </c>
    </row>
    <row r="39">
      <c r="I39" s="6" t="inlineStr">
        <is>
          <t>communication.</t>
        </is>
      </c>
    </row>
  </sheetData>
  <mergeCells count="3">
    <mergeCell ref="I1:J1"/>
    <mergeCell ref="A1:G1"/>
    <mergeCell ref="A12:G12"/>
  </mergeCells>
  <dataValidations count="1">
    <dataValidation sqref="B15:B20" showDropDown="0" showInputMessage="0" showErrorMessage="0" allowBlank="1" type="list">
      <formula1>"Strong,Adequate,Weak,Unknown"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32"/>
  <sheetViews>
    <sheetView workbookViewId="0">
      <pane xSplit="8" topLeftCell="I1" activePane="topRight" state="frozen"/>
      <selection pane="topRight"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  <col width="20" customWidth="1" min="4" max="4"/>
    <col width="18" customWidth="1" min="5" max="5"/>
    <col width="12" customWidth="1" min="6" max="6"/>
    <col width="30" customWidth="1" min="7" max="7"/>
    <col width="45" customWidth="1" min="9" max="9"/>
  </cols>
  <sheetData>
    <row r="1">
      <c r="I1" s="2" t="inlineStr">
        <is>
          <t>INSTRUCTIONS</t>
        </is>
      </c>
    </row>
    <row r="2">
      <c r="A2" s="5" t="inlineStr">
        <is>
          <t>Message</t>
        </is>
      </c>
      <c r="B2" s="5" t="inlineStr">
        <is>
          <t>Audience</t>
        </is>
      </c>
      <c r="C2" s="5" t="inlineStr">
        <is>
          <t>Channel</t>
        </is>
      </c>
      <c r="D2" s="5" t="inlineStr">
        <is>
          <t>Sender</t>
        </is>
      </c>
      <c r="E2" s="5" t="inlineStr">
        <is>
          <t>Timing</t>
        </is>
      </c>
      <c r="F2" s="5" t="inlineStr">
        <is>
          <t>Status</t>
        </is>
      </c>
      <c r="G2" s="5" t="inlineStr">
        <is>
          <t>Notes</t>
        </is>
      </c>
    </row>
    <row r="3">
      <c r="A3" s="9" t="inlineStr">
        <is>
          <t>Vision announcement</t>
        </is>
      </c>
      <c r="B3" s="9" t="inlineStr">
        <is>
          <t>All staff</t>
        </is>
      </c>
      <c r="C3" s="9" t="inlineStr">
        <is>
          <t>Town Hall</t>
        </is>
      </c>
      <c r="D3" s="9" t="inlineStr">
        <is>
          <t>CEO</t>
        </is>
      </c>
      <c r="E3" s="9" t="inlineStr">
        <is>
          <t>Week 1</t>
        </is>
      </c>
      <c r="F3" s="9" t="inlineStr"/>
      <c r="G3" s="9" t="inlineStr"/>
      <c r="I3" s="4" t="inlineStr">
        <is>
          <t>PURPOSE</t>
        </is>
      </c>
    </row>
    <row r="4">
      <c r="A4" s="9" t="inlineStr">
        <is>
          <t>Department briefing</t>
        </is>
      </c>
      <c r="B4" s="9" t="inlineStr">
        <is>
          <t>Department heads</t>
        </is>
      </c>
      <c r="C4" s="9" t="inlineStr">
        <is>
          <t>Meeting</t>
        </is>
      </c>
      <c r="D4" s="9" t="inlineStr">
        <is>
          <t>Project Sponsor</t>
        </is>
      </c>
      <c r="E4" s="9" t="inlineStr">
        <is>
          <t>Week 2</t>
        </is>
      </c>
      <c r="F4" s="9" t="inlineStr"/>
      <c r="G4" s="9" t="inlineStr"/>
      <c r="I4" s="6" t="inlineStr">
        <is>
          <t>Plan and track all change</t>
        </is>
      </c>
    </row>
    <row r="5">
      <c r="A5" s="9" t="inlineStr">
        <is>
          <t>Timeline communication</t>
        </is>
      </c>
      <c r="B5" s="9" t="inlineStr">
        <is>
          <t>All affected</t>
        </is>
      </c>
      <c r="C5" s="9" t="inlineStr">
        <is>
          <t>Email</t>
        </is>
      </c>
      <c r="D5" s="9" t="inlineStr">
        <is>
          <t>Change Manager</t>
        </is>
      </c>
      <c r="E5" s="9" t="inlineStr">
        <is>
          <t>Week 3</t>
        </is>
      </c>
      <c r="F5" s="9" t="inlineStr"/>
      <c r="G5" s="9" t="inlineStr"/>
      <c r="I5" s="6" t="inlineStr">
        <is>
          <t>communications across</t>
        </is>
      </c>
    </row>
    <row r="6">
      <c r="A6" s="9" t="inlineStr">
        <is>
          <t>Training announcement</t>
        </is>
      </c>
      <c r="B6" s="9" t="inlineStr">
        <is>
          <t>End users</t>
        </is>
      </c>
      <c r="C6" s="9" t="inlineStr">
        <is>
          <t>Intranet</t>
        </is>
      </c>
      <c r="D6" s="9" t="inlineStr">
        <is>
          <t>HR/Training</t>
        </is>
      </c>
      <c r="E6" s="9" t="inlineStr">
        <is>
          <t>Week 4</t>
        </is>
      </c>
      <c r="F6" s="9" t="inlineStr"/>
      <c r="G6" s="9" t="inlineStr"/>
      <c r="I6" s="6" t="inlineStr">
        <is>
          <t>stakeholder groups.</t>
        </is>
      </c>
    </row>
    <row r="7">
      <c r="A7" s="9" t="inlineStr">
        <is>
          <t>Go-live notification</t>
        </is>
      </c>
      <c r="B7" s="9" t="inlineStr">
        <is>
          <t>All staff</t>
        </is>
      </c>
      <c r="C7" s="9" t="inlineStr">
        <is>
          <t>Email + Intranet</t>
        </is>
      </c>
      <c r="D7" s="9" t="inlineStr">
        <is>
          <t>IT Director</t>
        </is>
      </c>
      <c r="E7" s="9" t="inlineStr">
        <is>
          <t>Go-live -1 week</t>
        </is>
      </c>
      <c r="F7" s="9" t="inlineStr"/>
      <c r="G7" s="9" t="inlineStr"/>
    </row>
    <row r="8">
      <c r="A8" s="9" t="n"/>
      <c r="B8" s="9" t="n"/>
      <c r="C8" s="9" t="n"/>
      <c r="D8" s="9" t="n"/>
      <c r="E8" s="9" t="n"/>
      <c r="F8" s="9" t="n"/>
      <c r="G8" s="9" t="n"/>
      <c r="I8" s="4" t="inlineStr">
        <is>
          <t>KEY PRINCIPLES</t>
        </is>
      </c>
    </row>
    <row r="9">
      <c r="A9" s="9" t="n"/>
      <c r="B9" s="9" t="n"/>
      <c r="C9" s="9" t="n"/>
      <c r="D9" s="9" t="n"/>
      <c r="E9" s="9" t="n"/>
      <c r="F9" s="9" t="n"/>
      <c r="G9" s="9" t="n"/>
      <c r="I9" s="6" t="inlineStr">
        <is>
          <t>- Right message, right time</t>
        </is>
      </c>
    </row>
    <row r="10">
      <c r="A10" s="9" t="n"/>
      <c r="B10" s="9" t="n"/>
      <c r="C10" s="9" t="n"/>
      <c r="D10" s="9" t="n"/>
      <c r="E10" s="9" t="n"/>
      <c r="F10" s="9" t="n"/>
      <c r="G10" s="9" t="n"/>
      <c r="I10" s="6" t="inlineStr">
        <is>
          <t>- Appropriate channels</t>
        </is>
      </c>
    </row>
    <row r="11">
      <c r="A11" s="9" t="n"/>
      <c r="B11" s="9" t="n"/>
      <c r="C11" s="9" t="n"/>
      <c r="D11" s="9" t="n"/>
      <c r="E11" s="9" t="n"/>
      <c r="F11" s="9" t="n"/>
      <c r="G11" s="9" t="n"/>
      <c r="I11" s="6" t="inlineStr">
        <is>
          <t>- Credible senders</t>
        </is>
      </c>
    </row>
    <row r="12">
      <c r="A12" s="9" t="n"/>
      <c r="B12" s="9" t="n"/>
      <c r="C12" s="9" t="n"/>
      <c r="D12" s="9" t="n"/>
      <c r="E12" s="9" t="n"/>
      <c r="F12" s="9" t="n"/>
      <c r="G12" s="9" t="n"/>
      <c r="I12" s="6" t="inlineStr">
        <is>
          <t>- Two-way communication</t>
        </is>
      </c>
    </row>
    <row r="13">
      <c r="A13" s="9" t="n"/>
      <c r="B13" s="9" t="n"/>
      <c r="C13" s="9" t="n"/>
      <c r="D13" s="9" t="n"/>
      <c r="E13" s="9" t="n"/>
      <c r="F13" s="9" t="n"/>
      <c r="G13" s="9" t="n"/>
    </row>
    <row r="14">
      <c r="A14" s="9" t="n"/>
      <c r="B14" s="9" t="n"/>
      <c r="C14" s="9" t="n"/>
      <c r="D14" s="9" t="n"/>
      <c r="E14" s="9" t="n"/>
      <c r="F14" s="9" t="n"/>
      <c r="G14" s="9" t="n"/>
      <c r="I14" s="4" t="inlineStr">
        <is>
          <t>CHANNELS</t>
        </is>
      </c>
    </row>
    <row r="15">
      <c r="A15" s="9" t="n"/>
      <c r="B15" s="9" t="n"/>
      <c r="C15" s="9" t="n"/>
      <c r="D15" s="9" t="n"/>
      <c r="E15" s="9" t="n"/>
      <c r="F15" s="9" t="n"/>
      <c r="G15" s="9" t="n"/>
      <c r="I15" s="6" t="inlineStr">
        <is>
          <t>Email - Wide reach, formal</t>
        </is>
      </c>
    </row>
    <row r="16">
      <c r="A16" s="9" t="n"/>
      <c r="B16" s="9" t="n"/>
      <c r="C16" s="9" t="n"/>
      <c r="D16" s="9" t="n"/>
      <c r="E16" s="9" t="n"/>
      <c r="F16" s="9" t="n"/>
      <c r="G16" s="9" t="n"/>
      <c r="I16" s="6" t="inlineStr">
        <is>
          <t>Meeting - Interactive, Q&amp;A</t>
        </is>
      </c>
    </row>
    <row r="17">
      <c r="A17" s="9" t="n"/>
      <c r="B17" s="9" t="n"/>
      <c r="C17" s="9" t="n"/>
      <c r="D17" s="9" t="n"/>
      <c r="E17" s="9" t="n"/>
      <c r="F17" s="9" t="n"/>
      <c r="G17" s="9" t="n"/>
      <c r="I17" s="6" t="inlineStr">
        <is>
          <t>Town Hall - Leadership visibility</t>
        </is>
      </c>
    </row>
    <row r="18">
      <c r="A18" s="9" t="n"/>
      <c r="B18" s="9" t="n"/>
      <c r="C18" s="9" t="n"/>
      <c r="D18" s="9" t="n"/>
      <c r="E18" s="9" t="n"/>
      <c r="F18" s="9" t="n"/>
      <c r="G18" s="9" t="n"/>
      <c r="I18" s="6" t="inlineStr">
        <is>
          <t>Intranet - Reference info</t>
        </is>
      </c>
    </row>
    <row r="19">
      <c r="A19" s="9" t="n"/>
      <c r="B19" s="9" t="n"/>
      <c r="C19" s="9" t="n"/>
      <c r="D19" s="9" t="n"/>
      <c r="E19" s="9" t="n"/>
      <c r="F19" s="9" t="n"/>
      <c r="G19" s="9" t="n"/>
      <c r="I19" s="6" t="inlineStr">
        <is>
          <t>Video - Engaging, repeatable</t>
        </is>
      </c>
    </row>
    <row r="20">
      <c r="A20" s="9" t="n"/>
      <c r="B20" s="9" t="n"/>
      <c r="C20" s="9" t="n"/>
      <c r="D20" s="9" t="n"/>
      <c r="E20" s="9" t="n"/>
      <c r="F20" s="9" t="n"/>
      <c r="G20" s="9" t="n"/>
    </row>
    <row r="21">
      <c r="A21" s="9" t="n"/>
      <c r="B21" s="9" t="n"/>
      <c r="C21" s="9" t="n"/>
      <c r="D21" s="9" t="n"/>
      <c r="E21" s="9" t="n"/>
      <c r="F21" s="9" t="n"/>
      <c r="G21" s="9" t="n"/>
      <c r="I21" s="4" t="inlineStr">
        <is>
          <t>TIP</t>
        </is>
      </c>
    </row>
    <row r="22">
      <c r="A22" s="9" t="n"/>
      <c r="B22" s="9" t="n"/>
      <c r="C22" s="9" t="n"/>
      <c r="D22" s="9" t="n"/>
      <c r="E22" s="9" t="n"/>
      <c r="F22" s="9" t="n"/>
      <c r="G22" s="9" t="n"/>
      <c r="I22" s="6" t="inlineStr">
        <is>
          <t>Managers are the preferred</t>
        </is>
      </c>
    </row>
    <row r="23">
      <c r="A23" s="9" t="n"/>
      <c r="B23" s="9" t="n"/>
      <c r="C23" s="9" t="n"/>
      <c r="D23" s="9" t="n"/>
      <c r="E23" s="9" t="n"/>
      <c r="F23" s="9" t="n"/>
      <c r="G23" s="9" t="n"/>
      <c r="I23" s="6" t="inlineStr">
        <is>
          <t>channel for change details</t>
        </is>
      </c>
    </row>
    <row r="24">
      <c r="A24" s="9" t="n"/>
      <c r="B24" s="9" t="n"/>
      <c r="C24" s="9" t="n"/>
      <c r="D24" s="9" t="n"/>
      <c r="E24" s="9" t="n"/>
      <c r="F24" s="9" t="n"/>
      <c r="G24" s="9" t="n"/>
      <c r="I24" s="6" t="inlineStr">
        <is>
          <t>affecting their teams.</t>
        </is>
      </c>
    </row>
    <row r="25">
      <c r="A25" s="9" t="n"/>
      <c r="B25" s="9" t="n"/>
      <c r="C25" s="9" t="n"/>
      <c r="D25" s="9" t="n"/>
      <c r="E25" s="9" t="n"/>
      <c r="F25" s="9" t="n"/>
      <c r="G25" s="9" t="n"/>
    </row>
    <row r="26">
      <c r="A26" s="9" t="n"/>
      <c r="B26" s="9" t="n"/>
      <c r="C26" s="9" t="n"/>
      <c r="D26" s="9" t="n"/>
      <c r="E26" s="9" t="n"/>
      <c r="F26" s="9" t="n"/>
      <c r="G26" s="9" t="n"/>
    </row>
    <row r="27">
      <c r="A27" s="9" t="n"/>
      <c r="B27" s="9" t="n"/>
      <c r="C27" s="9" t="n"/>
      <c r="D27" s="9" t="n"/>
      <c r="E27" s="9" t="n"/>
      <c r="F27" s="9" t="n"/>
      <c r="G27" s="9" t="n"/>
    </row>
    <row r="28">
      <c r="A28" s="9" t="n"/>
      <c r="B28" s="9" t="n"/>
      <c r="C28" s="9" t="n"/>
      <c r="D28" s="9" t="n"/>
      <c r="E28" s="9" t="n"/>
      <c r="F28" s="9" t="n"/>
      <c r="G28" s="9" t="n"/>
    </row>
    <row r="29">
      <c r="A29" s="9" t="n"/>
      <c r="B29" s="9" t="n"/>
      <c r="C29" s="9" t="n"/>
      <c r="D29" s="9" t="n"/>
      <c r="E29" s="9" t="n"/>
      <c r="F29" s="9" t="n"/>
      <c r="G29" s="9" t="n"/>
    </row>
    <row r="30">
      <c r="A30" s="9" t="n"/>
      <c r="B30" s="9" t="n"/>
      <c r="C30" s="9" t="n"/>
      <c r="D30" s="9" t="n"/>
      <c r="E30" s="9" t="n"/>
      <c r="F30" s="9" t="n"/>
      <c r="G30" s="9" t="n"/>
    </row>
    <row r="31">
      <c r="A31" s="9" t="n"/>
      <c r="B31" s="9" t="n"/>
      <c r="C31" s="9" t="n"/>
      <c r="D31" s="9" t="n"/>
      <c r="E31" s="9" t="n"/>
      <c r="F31" s="9" t="n"/>
      <c r="G31" s="9" t="n"/>
    </row>
    <row r="32">
      <c r="A32" s="9" t="n"/>
      <c r="B32" s="9" t="n"/>
      <c r="C32" s="9" t="n"/>
      <c r="D32" s="9" t="n"/>
      <c r="E32" s="9" t="n"/>
      <c r="F32" s="9" t="n"/>
      <c r="G32" s="9" t="n"/>
    </row>
  </sheetData>
  <mergeCells count="1">
    <mergeCell ref="I1:J1"/>
  </mergeCells>
  <dataValidations count="2">
    <dataValidation sqref="F3:F32" showDropDown="0" showInputMessage="0" showErrorMessage="0" allowBlank="1" type="list">
      <formula1>"Draft,Approved,Sent,Complete"</formula1>
    </dataValidation>
    <dataValidation sqref="C3:C32" showDropDown="0" showInputMessage="0" showErrorMessage="0" allowBlank="1" type="list">
      <formula1>"Email,Meeting,Town Hall,Intranet,Newsletter,Video,Training,Other"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38"/>
  <sheetViews>
    <sheetView workbookViewId="0">
      <pane xSplit="16" topLeftCell="Q1" activePane="topRight" state="frozen"/>
      <selection pane="topRight" activeCell="A1" sqref="A1"/>
    </sheetView>
  </sheetViews>
  <sheetFormatPr baseColWidth="8" defaultRowHeight="15"/>
  <cols>
    <col width="28" customWidth="1" min="1" max="1"/>
    <col width="22" customWidth="1" min="2" max="2"/>
    <col width="10" customWidth="1" min="3" max="3"/>
    <col width="10" customWidth="1" min="4" max="4"/>
    <col width="18" customWidth="1" min="5" max="5"/>
    <col width="14" customWidth="1" min="6" max="6"/>
    <col width="10" customWidth="1" min="7" max="7"/>
    <col width="12" customWidth="1" min="8" max="8"/>
    <col width="12" customWidth="1" min="9" max="9"/>
    <col width="12" customWidth="1" min="10" max="10"/>
    <col width="22" customWidth="1" min="12" max="12"/>
    <col width="40" customWidth="1" min="13" max="13"/>
    <col width="10" customWidth="1" min="14" max="14"/>
    <col width="10" customWidth="1" min="15" max="15"/>
    <col width="45" customWidth="1" min="17" max="17"/>
  </cols>
  <sheetData>
    <row r="1">
      <c r="L1" s="11" t="inlineStr">
        <is>
          <t>ROLE TRAINING MATRIX</t>
        </is>
      </c>
      <c r="Q1" s="2" t="inlineStr">
        <is>
          <t>INSTRUCTIONS</t>
        </is>
      </c>
    </row>
    <row r="2">
      <c r="L2" s="5" t="inlineStr">
        <is>
          <t>Role</t>
        </is>
      </c>
      <c r="M2" s="5" t="inlineStr">
        <is>
          <t>Required Modules</t>
        </is>
      </c>
      <c r="N2" s="5" t="inlineStr">
        <is>
          <t>Format</t>
        </is>
      </c>
      <c r="O2" s="5" t="inlineStr">
        <is>
          <t>Priority</t>
        </is>
      </c>
    </row>
    <row r="3">
      <c r="A3" s="5" t="inlineStr">
        <is>
          <t>Training Module</t>
        </is>
      </c>
      <c r="B3" s="5" t="inlineStr">
        <is>
          <t>Target Role</t>
        </is>
      </c>
      <c r="C3" s="5" t="inlineStr">
        <is>
          <t>Format</t>
        </is>
      </c>
      <c r="D3" s="5" t="inlineStr">
        <is>
          <t>Duration</t>
        </is>
      </c>
      <c r="E3" s="5" t="inlineStr">
        <is>
          <t>Trainer</t>
        </is>
      </c>
      <c r="F3" s="5" t="inlineStr">
        <is>
          <t>Target Headcount</t>
        </is>
      </c>
      <c r="G3" s="5" t="inlineStr">
        <is>
          <t>Trained</t>
        </is>
      </c>
      <c r="H3" s="5" t="inlineStr">
        <is>
          <t>Completion %</t>
        </is>
      </c>
      <c r="I3" s="5" t="inlineStr">
        <is>
          <t>Date</t>
        </is>
      </c>
      <c r="J3" s="5" t="inlineStr">
        <is>
          <t>Status</t>
        </is>
      </c>
      <c r="L3" s="9" t="inlineStr">
        <is>
          <t>Executive Sponsor</t>
        </is>
      </c>
      <c r="M3" s="9" t="inlineStr">
        <is>
          <t>Executive Briefing</t>
        </is>
      </c>
      <c r="N3" s="9" t="inlineStr">
        <is>
          <t>Meeting</t>
        </is>
      </c>
      <c r="O3" s="9" t="inlineStr">
        <is>
          <t>High</t>
        </is>
      </c>
      <c r="Q3" s="4" t="inlineStr">
        <is>
          <t>PURPOSE</t>
        </is>
      </c>
    </row>
    <row r="4">
      <c r="A4" s="9" t="inlineStr">
        <is>
          <t>Executive Briefing</t>
        </is>
      </c>
      <c r="B4" s="9" t="inlineStr">
        <is>
          <t>Executive Sponsor</t>
        </is>
      </c>
      <c r="C4" s="7" t="inlineStr">
        <is>
          <t>Meeting</t>
        </is>
      </c>
      <c r="D4" s="7" t="inlineStr">
        <is>
          <t>1 hour</t>
        </is>
      </c>
      <c r="E4" s="7" t="inlineStr">
        <is>
          <t>Change Manager</t>
        </is>
      </c>
      <c r="F4" s="7">
        <f>SUMIF('Stakeholder Analysis'!B:B,B4,'Stakeholder Analysis'!H:H)</f>
        <v/>
      </c>
      <c r="G4" s="7" t="n">
        <v>1</v>
      </c>
      <c r="H4" s="7">
        <f>IF(OR(F4=0,F4="",G4=""),"",ROUND(G4/F4*100,0)&amp;"%")</f>
        <v/>
      </c>
      <c r="I4" s="7" t="inlineStr">
        <is>
          <t>2024-03-15</t>
        </is>
      </c>
      <c r="J4" s="7" t="inlineStr">
        <is>
          <t>Complete</t>
        </is>
      </c>
      <c r="L4" s="9" t="inlineStr">
        <is>
          <t>Senior Leadership</t>
        </is>
      </c>
      <c r="M4" s="9" t="inlineStr">
        <is>
          <t>Leadership Overview, Change Sponsorship</t>
        </is>
      </c>
      <c r="N4" s="9" t="inlineStr">
        <is>
          <t>Meeting</t>
        </is>
      </c>
      <c r="O4" s="9" t="inlineStr">
        <is>
          <t>High</t>
        </is>
      </c>
      <c r="Q4" s="6" t="inlineStr">
        <is>
          <t>Role-based training plan</t>
        </is>
      </c>
    </row>
    <row r="5">
      <c r="A5" s="9" t="inlineStr">
        <is>
          <t>Leadership Overview</t>
        </is>
      </c>
      <c r="B5" s="9" t="inlineStr">
        <is>
          <t>Senior Leadership</t>
        </is>
      </c>
      <c r="C5" s="7" t="inlineStr">
        <is>
          <t>Meeting</t>
        </is>
      </c>
      <c r="D5" s="7" t="inlineStr">
        <is>
          <t>2 hours</t>
        </is>
      </c>
      <c r="E5" s="7" t="inlineStr">
        <is>
          <t>Change Manager</t>
        </is>
      </c>
      <c r="F5" s="7">
        <f>SUMIF('Stakeholder Analysis'!B:B,B5,'Stakeholder Analysis'!H:H)</f>
        <v/>
      </c>
      <c r="G5" s="7" t="n">
        <v>9</v>
      </c>
      <c r="H5" s="7">
        <f>IF(OR(F5=0,F5="",G5=""),"",ROUND(G5/F5*100,0)&amp;"%")</f>
        <v/>
      </c>
      <c r="I5" s="7" t="inlineStr">
        <is>
          <t>2024-03-20</t>
        </is>
      </c>
      <c r="J5" s="7" t="inlineStr">
        <is>
          <t>Complete</t>
        </is>
      </c>
      <c r="L5" s="9" t="inlineStr">
        <is>
          <t>Middle Manager</t>
        </is>
      </c>
      <c r="M5" s="9" t="inlineStr">
        <is>
          <t>Manager Toolkit, Cascade Communication, Coaching Skills</t>
        </is>
      </c>
      <c r="N5" s="9" t="inlineStr">
        <is>
          <t>Workshop</t>
        </is>
      </c>
      <c r="O5" s="9" t="inlineStr">
        <is>
          <t>High</t>
        </is>
      </c>
      <c r="Q5" s="6" t="inlineStr">
        <is>
          <t>auto-linked to Stakeholder</t>
        </is>
      </c>
    </row>
    <row r="6">
      <c r="A6" s="9" t="inlineStr">
        <is>
          <t>Change Sponsorship Workshop</t>
        </is>
      </c>
      <c r="B6" s="9" t="inlineStr">
        <is>
          <t>Senior Leadership</t>
        </is>
      </c>
      <c r="C6" s="7" t="inlineStr">
        <is>
          <t>Workshop</t>
        </is>
      </c>
      <c r="D6" s="7" t="inlineStr">
        <is>
          <t>4 hours</t>
        </is>
      </c>
      <c r="E6" s="7" t="inlineStr">
        <is>
          <t>External Consultant</t>
        </is>
      </c>
      <c r="F6" s="7">
        <f>SUMIF('Stakeholder Analysis'!B:B,B6,'Stakeholder Analysis'!H:H)</f>
        <v/>
      </c>
      <c r="G6" s="7" t="n">
        <v>7</v>
      </c>
      <c r="H6" s="7">
        <f>IF(OR(F6=0,F6="",G6=""),"",ROUND(G6/F6*100,0)&amp;"%")</f>
        <v/>
      </c>
      <c r="I6" s="7" t="inlineStr">
        <is>
          <t>2024-03-25</t>
        </is>
      </c>
      <c r="J6" s="7" t="inlineStr">
        <is>
          <t>Complete</t>
        </is>
      </c>
      <c r="L6" s="9" t="inlineStr">
        <is>
          <t>Front-line Supervisor</t>
        </is>
      </c>
      <c r="M6" s="9" t="inlineStr">
        <is>
          <t>Supervisor Guide, Team Communication, Basic System</t>
        </is>
      </c>
      <c r="N6" s="9" t="inlineStr">
        <is>
          <t>Classroom</t>
        </is>
      </c>
      <c r="O6" s="9" t="inlineStr">
        <is>
          <t>High</t>
        </is>
      </c>
      <c r="Q6" s="6" t="inlineStr">
        <is>
          <t>Analysis headcounts.</t>
        </is>
      </c>
    </row>
    <row r="7">
      <c r="A7" s="9" t="inlineStr">
        <is>
          <t>Manager Toolkit Training</t>
        </is>
      </c>
      <c r="B7" s="9" t="inlineStr">
        <is>
          <t>Middle Manager</t>
        </is>
      </c>
      <c r="C7" s="7" t="inlineStr">
        <is>
          <t>Workshop</t>
        </is>
      </c>
      <c r="D7" s="7" t="inlineStr">
        <is>
          <t>1 day</t>
        </is>
      </c>
      <c r="E7" s="7" t="inlineStr">
        <is>
          <t>HR/Training Team</t>
        </is>
      </c>
      <c r="F7" s="7">
        <f>SUMIF('Stakeholder Analysis'!B:B,B7,'Stakeholder Analysis'!H:H)</f>
        <v/>
      </c>
      <c r="G7" s="7" t="n">
        <v>18</v>
      </c>
      <c r="H7" s="7">
        <f>IF(OR(F7=0,F7="",G7=""),"",ROUND(G7/F7*100,0)&amp;"%")</f>
        <v/>
      </c>
      <c r="I7" s="7" t="inlineStr">
        <is>
          <t>2024-04-01</t>
        </is>
      </c>
      <c r="J7" s="7" t="inlineStr">
        <is>
          <t>In Progress</t>
        </is>
      </c>
      <c r="L7" s="9" t="inlineStr">
        <is>
          <t>End User (Heavy Impact)</t>
        </is>
      </c>
      <c r="M7" s="9" t="inlineStr">
        <is>
          <t>Full System Training, Process Changes, Hands-on Practice</t>
        </is>
      </c>
      <c r="N7" s="9" t="inlineStr">
        <is>
          <t>Classroom</t>
        </is>
      </c>
      <c r="O7" s="9" t="inlineStr">
        <is>
          <t>Critical</t>
        </is>
      </c>
    </row>
    <row r="8">
      <c r="A8" s="9" t="inlineStr">
        <is>
          <t>Cascade Communication Skills</t>
        </is>
      </c>
      <c r="B8" s="9" t="inlineStr">
        <is>
          <t>Middle Manager</t>
        </is>
      </c>
      <c r="C8" s="7" t="inlineStr">
        <is>
          <t>Classroom</t>
        </is>
      </c>
      <c r="D8" s="7" t="inlineStr">
        <is>
          <t>4 hours</t>
        </is>
      </c>
      <c r="E8" s="7" t="inlineStr">
        <is>
          <t>HR/Training Team</t>
        </is>
      </c>
      <c r="F8" s="7">
        <f>SUMIF('Stakeholder Analysis'!B:B,B8,'Stakeholder Analysis'!H:H)</f>
        <v/>
      </c>
      <c r="G8" s="7" t="n">
        <v>12</v>
      </c>
      <c r="H8" s="7">
        <f>IF(OR(F8=0,F8="",G8=""),"",ROUND(G8/F8*100,0)&amp;"%")</f>
        <v/>
      </c>
      <c r="I8" s="7" t="inlineStr">
        <is>
          <t>2024-04-05</t>
        </is>
      </c>
      <c r="J8" s="7" t="inlineStr">
        <is>
          <t>Scheduled</t>
        </is>
      </c>
      <c r="L8" s="9" t="inlineStr">
        <is>
          <t>End User (Light Impact)</t>
        </is>
      </c>
      <c r="M8" s="9" t="inlineStr">
        <is>
          <t>System Overview, Key Changes</t>
        </is>
      </c>
      <c r="N8" s="9" t="inlineStr">
        <is>
          <t>eLearning</t>
        </is>
      </c>
      <c r="O8" s="9" t="inlineStr">
        <is>
          <t>Medium</t>
        </is>
      </c>
      <c r="Q8" s="4" t="inlineStr">
        <is>
          <t>AUTO-CALCULATIONS</t>
        </is>
      </c>
    </row>
    <row r="9">
      <c r="A9" s="9" t="inlineStr">
        <is>
          <t>Supervisor Guide Training</t>
        </is>
      </c>
      <c r="B9" s="9" t="inlineStr">
        <is>
          <t>Front-line Supervisor</t>
        </is>
      </c>
      <c r="C9" s="7" t="inlineStr">
        <is>
          <t>Classroom</t>
        </is>
      </c>
      <c r="D9" s="7" t="inlineStr">
        <is>
          <t>4 hours</t>
        </is>
      </c>
      <c r="E9" s="7" t="inlineStr">
        <is>
          <t>HR/Training Team</t>
        </is>
      </c>
      <c r="F9" s="7">
        <f>SUMIF('Stakeholder Analysis'!B:B,B9,'Stakeholder Analysis'!H:H)</f>
        <v/>
      </c>
      <c r="G9" s="7" t="n">
        <v>25</v>
      </c>
      <c r="H9" s="7">
        <f>IF(OR(F9=0,F9="",G9=""),"",ROUND(G9/F9*100,0)&amp;"%")</f>
        <v/>
      </c>
      <c r="I9" s="7" t="inlineStr">
        <is>
          <t>2024-04-10</t>
        </is>
      </c>
      <c r="J9" s="7" t="inlineStr">
        <is>
          <t>Scheduled</t>
        </is>
      </c>
      <c r="L9" s="9" t="inlineStr">
        <is>
          <t>IT Support Staff</t>
        </is>
      </c>
      <c r="M9" s="9" t="inlineStr">
        <is>
          <t>Technical Deep-dive, Admin Functions, Troubleshooting</t>
        </is>
      </c>
      <c r="N9" s="9" t="inlineStr">
        <is>
          <t>Hands-on</t>
        </is>
      </c>
      <c r="O9" s="9" t="inlineStr">
        <is>
          <t>Critical</t>
        </is>
      </c>
      <c r="Q9" s="6" t="inlineStr">
        <is>
          <t>Target Headcount: Pulls from</t>
        </is>
      </c>
    </row>
    <row r="10">
      <c r="A10" s="9" t="inlineStr">
        <is>
          <t>Team Communication Workshop</t>
        </is>
      </c>
      <c r="B10" s="9" t="inlineStr">
        <is>
          <t>Front-line Supervisor</t>
        </is>
      </c>
      <c r="C10" s="7" t="inlineStr">
        <is>
          <t>Workshop</t>
        </is>
      </c>
      <c r="D10" s="7" t="inlineStr">
        <is>
          <t>2 hours</t>
        </is>
      </c>
      <c r="E10" s="7" t="inlineStr">
        <is>
          <t>Change Manager</t>
        </is>
      </c>
      <c r="F10" s="7">
        <f>SUMIF('Stakeholder Analysis'!B:B,B10,'Stakeholder Analysis'!H:H)</f>
        <v/>
      </c>
      <c r="G10" s="7" t="n">
        <v>0</v>
      </c>
      <c r="H10" s="7">
        <f>IF(OR(F10=0,F10="",G10=""),"",ROUND(G10/F10*100,0)&amp;"%")</f>
        <v/>
      </c>
      <c r="I10" s="7" t="inlineStr">
        <is>
          <t>2024-04-15</t>
        </is>
      </c>
      <c r="J10" s="7" t="inlineStr">
        <is>
          <t>Not Started</t>
        </is>
      </c>
      <c r="L10" s="9" t="inlineStr">
        <is>
          <t>HR/Training Team</t>
        </is>
      </c>
      <c r="M10" s="9" t="inlineStr">
        <is>
          <t>Train-the-Trainer, Full Curriculum, Facilitation</t>
        </is>
      </c>
      <c r="N10" s="9" t="inlineStr">
        <is>
          <t>Workshop</t>
        </is>
      </c>
      <c r="O10" s="9" t="inlineStr">
        <is>
          <t>Critical</t>
        </is>
      </c>
      <c r="Q10" s="6" t="inlineStr">
        <is>
          <t xml:space="preserve">  Stakeholder Analysis by role</t>
        </is>
      </c>
    </row>
    <row r="11">
      <c r="A11" s="9" t="inlineStr">
        <is>
          <t>Full System Training</t>
        </is>
      </c>
      <c r="B11" s="9" t="inlineStr">
        <is>
          <t>End User (Heavy Impact)</t>
        </is>
      </c>
      <c r="C11" s="7" t="inlineStr">
        <is>
          <t>Classroom</t>
        </is>
      </c>
      <c r="D11" s="7" t="inlineStr">
        <is>
          <t>1 day</t>
        </is>
      </c>
      <c r="E11" s="7" t="inlineStr">
        <is>
          <t>IT Training</t>
        </is>
      </c>
      <c r="F11" s="7">
        <f>SUMIF('Stakeholder Analysis'!B:B,B11,'Stakeholder Analysis'!H:H)</f>
        <v/>
      </c>
      <c r="G11" s="7" t="n">
        <v>45</v>
      </c>
      <c r="H11" s="7">
        <f>IF(OR(F11=0,F11="",G11=""),"",ROUND(G11/F11*100,0)&amp;"%")</f>
        <v/>
      </c>
      <c r="I11" s="7" t="inlineStr">
        <is>
          <t>2024-04-20</t>
        </is>
      </c>
      <c r="J11" s="7" t="inlineStr">
        <is>
          <t>Not Started</t>
        </is>
      </c>
      <c r="L11" s="9" t="inlineStr">
        <is>
          <t>Finance/Procurement</t>
        </is>
      </c>
      <c r="M11" s="9" t="inlineStr">
        <is>
          <t>Process Changes, Reporting Updates</t>
        </is>
      </c>
      <c r="N11" s="9" t="inlineStr">
        <is>
          <t>eLearning</t>
        </is>
      </c>
      <c r="O11" s="9" t="inlineStr">
        <is>
          <t>Medium</t>
        </is>
      </c>
      <c r="Q11" s="6" t="inlineStr">
        <is>
          <t>Completion %: Trained/Target</t>
        </is>
      </c>
    </row>
    <row r="12">
      <c r="A12" s="9" t="inlineStr">
        <is>
          <t>System Overview (eLearning)</t>
        </is>
      </c>
      <c r="B12" s="9" t="inlineStr">
        <is>
          <t>End User (Light Impact)</t>
        </is>
      </c>
      <c r="C12" s="7" t="inlineStr">
        <is>
          <t>eLearning</t>
        </is>
      </c>
      <c r="D12" s="7" t="inlineStr">
        <is>
          <t>1 hour</t>
        </is>
      </c>
      <c r="E12" s="7" t="inlineStr">
        <is>
          <t>Self-paced</t>
        </is>
      </c>
      <c r="F12" s="7">
        <f>SUMIF('Stakeholder Analysis'!B:B,B12,'Stakeholder Analysis'!H:H)</f>
        <v/>
      </c>
      <c r="G12" s="7" t="n">
        <v>0</v>
      </c>
      <c r="H12" s="7">
        <f>IF(OR(F12=0,F12="",G12=""),"",ROUND(G12/F12*100,0)&amp;"%")</f>
        <v/>
      </c>
      <c r="I12" s="7" t="inlineStr">
        <is>
          <t>2024-04-15</t>
        </is>
      </c>
      <c r="J12" s="7" t="inlineStr">
        <is>
          <t>Not Started</t>
        </is>
      </c>
      <c r="L12" s="9" t="inlineStr">
        <is>
          <t>External Partner</t>
        </is>
      </c>
      <c r="M12" s="9" t="inlineStr">
        <is>
          <t>Integration Overview, API Changes</t>
        </is>
      </c>
      <c r="N12" s="9" t="inlineStr">
        <is>
          <t>Video</t>
        </is>
      </c>
      <c r="O12" s="9" t="inlineStr">
        <is>
          <t>Medium</t>
        </is>
      </c>
      <c r="Q12" s="6" t="inlineStr">
        <is>
          <t>Summary: Auto-totals</t>
        </is>
      </c>
    </row>
    <row r="13">
      <c r="A13" s="9" t="inlineStr">
        <is>
          <t>Technical Deep-dive</t>
        </is>
      </c>
      <c r="B13" s="9" t="inlineStr">
        <is>
          <t>IT Support Staff</t>
        </is>
      </c>
      <c r="C13" s="7" t="inlineStr">
        <is>
          <t>Hands-on</t>
        </is>
      </c>
      <c r="D13" s="7" t="inlineStr">
        <is>
          <t>2 days</t>
        </is>
      </c>
      <c r="E13" s="7" t="inlineStr">
        <is>
          <t>Vendor</t>
        </is>
      </c>
      <c r="F13" s="7">
        <f>SUMIF('Stakeholder Analysis'!B:B,B13,'Stakeholder Analysis'!H:H)</f>
        <v/>
      </c>
      <c r="G13" s="7" t="n">
        <v>15</v>
      </c>
      <c r="H13" s="7">
        <f>IF(OR(F13=0,F13="",G13=""),"",ROUND(G13/F13*100,0)&amp;"%")</f>
        <v/>
      </c>
      <c r="I13" s="7" t="inlineStr">
        <is>
          <t>2024-04-01</t>
        </is>
      </c>
      <c r="J13" s="7" t="inlineStr">
        <is>
          <t>Complete</t>
        </is>
      </c>
      <c r="L13" s="9" t="inlineStr">
        <is>
          <t>Union Representative</t>
        </is>
      </c>
      <c r="M13" s="9" t="inlineStr">
        <is>
          <t>Change Overview, Employee Impact Summary</t>
        </is>
      </c>
      <c r="N13" s="9" t="inlineStr">
        <is>
          <t>Meeting</t>
        </is>
      </c>
      <c r="O13" s="9" t="inlineStr">
        <is>
          <t>High</t>
        </is>
      </c>
    </row>
    <row r="14">
      <c r="A14" s="9" t="inlineStr">
        <is>
          <t>Train-the-Trainer</t>
        </is>
      </c>
      <c r="B14" s="9" t="inlineStr">
        <is>
          <t>HR/Training Team</t>
        </is>
      </c>
      <c r="C14" s="7" t="inlineStr">
        <is>
          <t>Workshop</t>
        </is>
      </c>
      <c r="D14" s="7" t="inlineStr">
        <is>
          <t>2 days</t>
        </is>
      </c>
      <c r="E14" s="7" t="inlineStr">
        <is>
          <t>External Consultant</t>
        </is>
      </c>
      <c r="F14" s="7">
        <f>SUMIF('Stakeholder Analysis'!B:B,B14,'Stakeholder Analysis'!H:H)</f>
        <v/>
      </c>
      <c r="G14" s="7" t="n">
        <v>8</v>
      </c>
      <c r="H14" s="7">
        <f>IF(OR(F14=0,F14="",G14=""),"",ROUND(G14/F14*100,0)&amp;"%")</f>
        <v/>
      </c>
      <c r="I14" s="7" t="inlineStr">
        <is>
          <t>2024-03-28</t>
        </is>
      </c>
      <c r="J14" s="7" t="inlineStr">
        <is>
          <t>Complete</t>
        </is>
      </c>
      <c r="L14" s="9" t="inlineStr">
        <is>
          <t>Customer</t>
        </is>
      </c>
      <c r="M14" s="9" t="inlineStr">
        <is>
          <t>Service Updates, New Features</t>
        </is>
      </c>
      <c r="N14" s="9" t="inlineStr">
        <is>
          <t>Video</t>
        </is>
      </c>
      <c r="O14" s="9" t="inlineStr">
        <is>
          <t>Low</t>
        </is>
      </c>
      <c r="Q14" s="4" t="inlineStr">
        <is>
          <t>HOW TO USE</t>
        </is>
      </c>
    </row>
    <row r="15">
      <c r="A15" s="9" t="n"/>
      <c r="B15" s="9" t="n"/>
      <c r="C15" s="9" t="n"/>
      <c r="D15" s="9" t="n"/>
      <c r="E15" s="9" t="n"/>
      <c r="F15" s="9" t="n"/>
      <c r="G15" s="9" t="n"/>
      <c r="H15" s="9">
        <f>IF(OR(F15=0,F15="",G15=""),"",ROUND(G15/F15*100,0)&amp;"%")</f>
        <v/>
      </c>
      <c r="I15" s="9" t="n"/>
      <c r="J15" s="9" t="n"/>
      <c r="Q15" s="6" t="inlineStr">
        <is>
          <t>1. Select Target Role (dropdown)</t>
        </is>
      </c>
    </row>
    <row r="16">
      <c r="A16" s="9" t="n"/>
      <c r="B16" s="9" t="n"/>
      <c r="C16" s="9" t="n"/>
      <c r="D16" s="9" t="n"/>
      <c r="E16" s="9" t="n"/>
      <c r="F16" s="9" t="n"/>
      <c r="G16" s="9" t="n"/>
      <c r="H16" s="9">
        <f>IF(OR(F16=0,F16="",G16=""),"",ROUND(G16/F16*100,0)&amp;"%")</f>
        <v/>
      </c>
      <c r="I16" s="9" t="n"/>
      <c r="J16" s="9" t="n"/>
      <c r="Q16" s="6" t="inlineStr">
        <is>
          <t>2. Headcount auto-populates</t>
        </is>
      </c>
    </row>
    <row r="17">
      <c r="A17" s="9" t="n"/>
      <c r="B17" s="9" t="n"/>
      <c r="C17" s="9" t="n"/>
      <c r="D17" s="9" t="n"/>
      <c r="E17" s="9" t="n"/>
      <c r="F17" s="9" t="n"/>
      <c r="G17" s="9" t="n"/>
      <c r="H17" s="9">
        <f>IF(OR(F17=0,F17="",G17=""),"",ROUND(G17/F17*100,0)&amp;"%")</f>
        <v/>
      </c>
      <c r="I17" s="9" t="n"/>
      <c r="J17" s="9" t="n"/>
      <c r="Q17" s="6" t="inlineStr">
        <is>
          <t>3. Enter Trained count</t>
        </is>
      </c>
    </row>
    <row r="18">
      <c r="A18" s="9" t="n"/>
      <c r="B18" s="9" t="n"/>
      <c r="C18" s="9" t="n"/>
      <c r="D18" s="9" t="n"/>
      <c r="E18" s="9" t="n"/>
      <c r="F18" s="9" t="n"/>
      <c r="G18" s="9" t="n"/>
      <c r="H18" s="9">
        <f>IF(OR(F18=0,F18="",G18=""),"",ROUND(G18/F18*100,0)&amp;"%")</f>
        <v/>
      </c>
      <c r="I18" s="9" t="n"/>
      <c r="J18" s="9" t="n"/>
      <c r="Q18" s="6" t="inlineStr">
        <is>
          <t>4. Update Status as needed</t>
        </is>
      </c>
    </row>
    <row r="19">
      <c r="A19" s="9" t="n"/>
      <c r="B19" s="9" t="n"/>
      <c r="C19" s="9" t="n"/>
      <c r="D19" s="9" t="n"/>
      <c r="E19" s="9" t="n"/>
      <c r="F19" s="9" t="n"/>
      <c r="G19" s="9" t="n"/>
      <c r="H19" s="9">
        <f>IF(OR(F19=0,F19="",G19=""),"",ROUND(G19/F19*100,0)&amp;"%")</f>
        <v/>
      </c>
      <c r="I19" s="9" t="n"/>
      <c r="J19" s="9" t="n"/>
    </row>
    <row r="20">
      <c r="A20" s="9" t="n"/>
      <c r="B20" s="9" t="n"/>
      <c r="C20" s="9" t="n"/>
      <c r="D20" s="9" t="n"/>
      <c r="E20" s="9" t="n"/>
      <c r="F20" s="9" t="n"/>
      <c r="G20" s="9" t="n"/>
      <c r="H20" s="9">
        <f>IF(OR(F20=0,F20="",G20=""),"",ROUND(G20/F20*100,0)&amp;"%")</f>
        <v/>
      </c>
      <c r="I20" s="9" t="n"/>
      <c r="J20" s="9" t="n"/>
      <c r="Q20" s="4" t="inlineStr">
        <is>
          <t>ROLE MATRIX</t>
        </is>
      </c>
    </row>
    <row r="21">
      <c r="A21" s="9" t="n"/>
      <c r="B21" s="9" t="n"/>
      <c r="C21" s="9" t="n"/>
      <c r="D21" s="9" t="n"/>
      <c r="E21" s="9" t="n"/>
      <c r="F21" s="9" t="n"/>
      <c r="G21" s="9" t="n"/>
      <c r="H21" s="9">
        <f>IF(OR(F21=0,F21="",G21=""),"",ROUND(G21/F21*100,0)&amp;"%")</f>
        <v/>
      </c>
      <c r="I21" s="9" t="n"/>
      <c r="J21" s="9" t="n"/>
      <c r="Q21" s="6" t="inlineStr">
        <is>
          <t>Reference table shows required</t>
        </is>
      </c>
    </row>
    <row r="22">
      <c r="A22" s="9" t="n"/>
      <c r="B22" s="9" t="n"/>
      <c r="C22" s="9" t="n"/>
      <c r="D22" s="9" t="n"/>
      <c r="E22" s="9" t="n"/>
      <c r="F22" s="9" t="n"/>
      <c r="G22" s="9" t="n"/>
      <c r="H22" s="9">
        <f>IF(OR(F22=0,F22="",G22=""),"",ROUND(G22/F22*100,0)&amp;"%")</f>
        <v/>
      </c>
      <c r="I22" s="9" t="n"/>
      <c r="J22" s="9" t="n"/>
      <c r="Q22" s="6" t="inlineStr">
        <is>
          <t>training modules and format</t>
        </is>
      </c>
    </row>
    <row r="23">
      <c r="A23" s="9" t="n"/>
      <c r="B23" s="9" t="n"/>
      <c r="C23" s="9" t="n"/>
      <c r="D23" s="9" t="n"/>
      <c r="E23" s="9" t="n"/>
      <c r="F23" s="9" t="n"/>
      <c r="G23" s="9" t="n"/>
      <c r="H23" s="9">
        <f>IF(OR(F23=0,F23="",G23=""),"",ROUND(G23/F23*100,0)&amp;"%")</f>
        <v/>
      </c>
      <c r="I23" s="9" t="n"/>
      <c r="J23" s="9" t="n"/>
      <c r="Q23" s="6" t="inlineStr">
        <is>
          <t>for each stakeholder role.</t>
        </is>
      </c>
    </row>
    <row r="24">
      <c r="A24" s="9" t="n"/>
      <c r="B24" s="9" t="n"/>
      <c r="C24" s="9" t="n"/>
      <c r="D24" s="9" t="n"/>
      <c r="E24" s="9" t="n"/>
      <c r="F24" s="9" t="n"/>
      <c r="G24" s="9" t="n"/>
      <c r="H24" s="9">
        <f>IF(OR(F24=0,F24="",G24=""),"",ROUND(G24/F24*100,0)&amp;"%")</f>
        <v/>
      </c>
      <c r="I24" s="9" t="n"/>
      <c r="J24" s="9" t="n"/>
    </row>
    <row r="25">
      <c r="A25" s="9" t="n"/>
      <c r="B25" s="9" t="n"/>
      <c r="C25" s="9" t="n"/>
      <c r="D25" s="9" t="n"/>
      <c r="E25" s="9" t="n"/>
      <c r="F25" s="9" t="n"/>
      <c r="G25" s="9" t="n"/>
      <c r="H25" s="9">
        <f>IF(OR(F25=0,F25="",G25=""),"",ROUND(G25/F25*100,0)&amp;"%")</f>
        <v/>
      </c>
      <c r="I25" s="9" t="n"/>
      <c r="J25" s="9" t="n"/>
      <c r="Q25" s="4" t="inlineStr">
        <is>
          <t>TIP</t>
        </is>
      </c>
    </row>
    <row r="26">
      <c r="A26" s="9" t="n"/>
      <c r="B26" s="9" t="n"/>
      <c r="C26" s="9" t="n"/>
      <c r="D26" s="9" t="n"/>
      <c r="E26" s="9" t="n"/>
      <c r="F26" s="9" t="n"/>
      <c r="G26" s="9" t="n"/>
      <c r="H26" s="9">
        <f>IF(OR(F26=0,F26="",G26=""),"",ROUND(G26/F26*100,0)&amp;"%")</f>
        <v/>
      </c>
      <c r="I26" s="9" t="n"/>
      <c r="J26" s="9" t="n"/>
      <c r="Q26" s="6" t="inlineStr">
        <is>
          <t>Add stakeholders first in</t>
        </is>
      </c>
    </row>
    <row r="27">
      <c r="A27" s="9" t="n"/>
      <c r="B27" s="9" t="n"/>
      <c r="C27" s="9" t="n"/>
      <c r="D27" s="9" t="n"/>
      <c r="E27" s="9" t="n"/>
      <c r="F27" s="9" t="n"/>
      <c r="G27" s="9" t="n"/>
      <c r="H27" s="9">
        <f>IF(OR(F27=0,F27="",G27=""),"",ROUND(G27/F27*100,0)&amp;"%")</f>
        <v/>
      </c>
      <c r="I27" s="9" t="n"/>
      <c r="J27" s="9" t="n"/>
      <c r="Q27" s="6" t="inlineStr">
        <is>
          <t>Stakeholder Analysis, then</t>
        </is>
      </c>
    </row>
    <row r="28">
      <c r="A28" s="9" t="n"/>
      <c r="B28" s="9" t="n"/>
      <c r="C28" s="9" t="n"/>
      <c r="D28" s="9" t="n"/>
      <c r="E28" s="9" t="n"/>
      <c r="F28" s="9" t="n"/>
      <c r="G28" s="9" t="n"/>
      <c r="H28" s="9">
        <f>IF(OR(F28=0,F28="",G28=""),"",ROUND(G28/F28*100,0)&amp;"%")</f>
        <v/>
      </c>
      <c r="I28" s="9" t="n"/>
      <c r="J28" s="9" t="n"/>
      <c r="Q28" s="6" t="inlineStr">
        <is>
          <t>training targets auto-update.</t>
        </is>
      </c>
    </row>
    <row r="29">
      <c r="A29" s="9" t="n"/>
      <c r="B29" s="9" t="n"/>
      <c r="C29" s="9" t="n"/>
      <c r="D29" s="9" t="n"/>
      <c r="E29" s="9" t="n"/>
      <c r="F29" s="9" t="n"/>
      <c r="G29" s="9" t="n"/>
      <c r="H29" s="9">
        <f>IF(OR(F29=0,F29="",G29=""),"",ROUND(G29/F29*100,0)&amp;"%")</f>
        <v/>
      </c>
      <c r="I29" s="9" t="n"/>
      <c r="J29" s="9" t="n"/>
    </row>
    <row r="32">
      <c r="A32" s="11" t="inlineStr">
        <is>
          <t>TRAINING SUMMARY</t>
        </is>
      </c>
    </row>
    <row r="33">
      <c r="A33" s="17" t="inlineStr">
        <is>
          <t>Total Target Headcount</t>
        </is>
      </c>
      <c r="B33" s="7">
        <f>SUM(F4:F30)</f>
        <v/>
      </c>
    </row>
    <row r="34">
      <c r="A34" s="17" t="inlineStr">
        <is>
          <t>Total Trained</t>
        </is>
      </c>
      <c r="B34" s="7">
        <f>SUM(G4:G30)</f>
        <v/>
      </c>
    </row>
    <row r="35">
      <c r="A35" s="17" t="inlineStr">
        <is>
          <t>Overall Completion %</t>
        </is>
      </c>
      <c r="B35" s="7">
        <f>IF(B33=0,"",ROUND(B34/B33*100,0)&amp;"%")</f>
        <v/>
      </c>
    </row>
    <row r="36">
      <c r="A36" s="17" t="inlineStr">
        <is>
          <t>Modules Complete</t>
        </is>
      </c>
      <c r="B36" s="7">
        <f>COUNTIF(J4:J30,"Complete")</f>
        <v/>
      </c>
    </row>
    <row r="37">
      <c r="A37" s="17" t="inlineStr">
        <is>
          <t>Modules In Progress</t>
        </is>
      </c>
      <c r="B37" s="7">
        <f>COUNTIF(J4:J30,"In Progress")</f>
        <v/>
      </c>
    </row>
    <row r="38">
      <c r="A38" s="17" t="inlineStr">
        <is>
          <t>Modules Not Started</t>
        </is>
      </c>
      <c r="B38" s="7">
        <f>COUNTIF(J4:J30,"Not Started")</f>
        <v/>
      </c>
    </row>
  </sheetData>
  <mergeCells count="2">
    <mergeCell ref="L1:O1"/>
    <mergeCell ref="Q1:R1"/>
  </mergeCells>
  <dataValidations count="3">
    <dataValidation sqref="C4:C30" showDropDown="0" showInputMessage="0" showErrorMessage="0" allowBlank="1" type="list">
      <formula1>"eLearning,Classroom,Workshop,Hands-on,Meeting,Video,Self-study"</formula1>
    </dataValidation>
    <dataValidation sqref="B4:B30" showDropDown="0" showInputMessage="0" showErrorMessage="0" allowBlank="1" type="list">
      <formula1>$L$3:$L$14</formula1>
    </dataValidation>
    <dataValidation sqref="J4:J30" showDropDown="0" showInputMessage="0" showErrorMessage="0" allowBlank="1" type="list">
      <formula1>"Not Started,Scheduled,In Progress,Complete,Cancelled"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29"/>
  <sheetViews>
    <sheetView workbookViewId="0">
      <pane xSplit="8" topLeftCell="I1" activePane="topRight" state="frozen"/>
      <selection pane="topRight" activeCell="A1" sqref="A1"/>
    </sheetView>
  </sheetViews>
  <sheetFormatPr baseColWidth="8" defaultRowHeight="15"/>
  <cols>
    <col width="20" customWidth="1" min="1" max="1"/>
    <col width="18" customWidth="1" min="2" max="2"/>
    <col width="30" customWidth="1" min="3" max="3"/>
    <col width="12" customWidth="1" min="4" max="4"/>
    <col width="12" customWidth="1" min="5" max="5"/>
    <col width="18" customWidth="1" min="6" max="6"/>
    <col width="30" customWidth="1" min="7" max="7"/>
    <col width="45" customWidth="1" min="9" max="9"/>
  </cols>
  <sheetData>
    <row r="1">
      <c r="I1" s="2" t="inlineStr">
        <is>
          <t>INSTRUCTIONS</t>
        </is>
      </c>
    </row>
    <row r="2">
      <c r="A2" s="5" t="inlineStr">
        <is>
          <t>Sponsor</t>
        </is>
      </c>
      <c r="B2" s="5" t="inlineStr">
        <is>
          <t>Role</t>
        </is>
      </c>
      <c r="C2" s="5" t="inlineStr">
        <is>
          <t>Activity</t>
        </is>
      </c>
      <c r="D2" s="5" t="inlineStr">
        <is>
          <t>Due Date</t>
        </is>
      </c>
      <c r="E2" s="5" t="inlineStr">
        <is>
          <t>Status</t>
        </is>
      </c>
      <c r="F2" s="5" t="inlineStr">
        <is>
          <t>Effectiveness</t>
        </is>
      </c>
      <c r="G2" s="5" t="inlineStr">
        <is>
          <t>Notes</t>
        </is>
      </c>
    </row>
    <row r="3">
      <c r="A3" s="9" t="inlineStr"/>
      <c r="B3" s="9" t="inlineStr">
        <is>
          <t>Executive Sponsor</t>
        </is>
      </c>
      <c r="C3" s="9" t="inlineStr">
        <is>
          <t>Kick-off announcement</t>
        </is>
      </c>
      <c r="D3" s="9" t="inlineStr"/>
      <c r="E3" s="9" t="inlineStr"/>
      <c r="F3" s="9" t="inlineStr"/>
      <c r="G3" s="9" t="inlineStr"/>
      <c r="I3" s="4" t="inlineStr">
        <is>
          <t>PURPOSE</t>
        </is>
      </c>
    </row>
    <row r="4">
      <c r="A4" s="9" t="inlineStr"/>
      <c r="B4" s="9" t="inlineStr">
        <is>
          <t>Executive Sponsor</t>
        </is>
      </c>
      <c r="C4" s="9" t="inlineStr">
        <is>
          <t>Monthly steering committee</t>
        </is>
      </c>
      <c r="D4" s="9" t="inlineStr"/>
      <c r="E4" s="9" t="inlineStr"/>
      <c r="F4" s="9" t="inlineStr"/>
      <c r="G4" s="9" t="inlineStr"/>
      <c r="I4" s="6" t="inlineStr">
        <is>
          <t>Track sponsor activities</t>
        </is>
      </c>
    </row>
    <row r="5">
      <c r="A5" s="9" t="inlineStr"/>
      <c r="B5" s="9" t="inlineStr">
        <is>
          <t>Executive Sponsor</t>
        </is>
      </c>
      <c r="C5" s="9" t="inlineStr">
        <is>
          <t>Quarterly all-hands update</t>
        </is>
      </c>
      <c r="D5" s="9" t="inlineStr"/>
      <c r="E5" s="9" t="inlineStr"/>
      <c r="F5" s="9" t="inlineStr"/>
      <c r="G5" s="9" t="inlineStr"/>
      <c r="I5" s="6" t="inlineStr">
        <is>
          <t>and effectiveness to ensure</t>
        </is>
      </c>
    </row>
    <row r="6">
      <c r="A6" s="9" t="inlineStr"/>
      <c r="B6" s="9" t="inlineStr">
        <is>
          <t>Project Sponsor</t>
        </is>
      </c>
      <c r="C6" s="9" t="inlineStr">
        <is>
          <t>Weekly project reviews</t>
        </is>
      </c>
      <c r="D6" s="9" t="inlineStr"/>
      <c r="E6" s="9" t="inlineStr"/>
      <c r="F6" s="9" t="inlineStr"/>
      <c r="G6" s="9" t="inlineStr"/>
      <c r="I6" s="6" t="inlineStr">
        <is>
          <t>visible leadership support.</t>
        </is>
      </c>
    </row>
    <row r="7">
      <c r="A7" s="9" t="inlineStr"/>
      <c r="B7" s="9" t="inlineStr">
        <is>
          <t>Project Sponsor</t>
        </is>
      </c>
      <c r="C7" s="9" t="inlineStr">
        <is>
          <t>Stakeholder 1:1 meetings</t>
        </is>
      </c>
      <c r="D7" s="9" t="inlineStr"/>
      <c r="E7" s="9" t="inlineStr"/>
      <c r="F7" s="9" t="inlineStr"/>
      <c r="G7" s="9" t="inlineStr"/>
    </row>
    <row r="8">
      <c r="A8" s="9" t="inlineStr"/>
      <c r="B8" s="9" t="inlineStr">
        <is>
          <t>Department Head</t>
        </is>
      </c>
      <c r="C8" s="9" t="inlineStr">
        <is>
          <t>Team briefings</t>
        </is>
      </c>
      <c r="D8" s="9" t="inlineStr"/>
      <c r="E8" s="9" t="inlineStr"/>
      <c r="F8" s="9" t="inlineStr"/>
      <c r="G8" s="9" t="inlineStr"/>
      <c r="I8" s="4" t="inlineStr">
        <is>
          <t>SPONSOR ROLES</t>
        </is>
      </c>
    </row>
    <row r="9">
      <c r="A9" s="9" t="inlineStr"/>
      <c r="B9" s="9" t="inlineStr">
        <is>
          <t>Department Head</t>
        </is>
      </c>
      <c r="C9" s="9" t="inlineStr">
        <is>
          <t>Resistance escalation review</t>
        </is>
      </c>
      <c r="D9" s="9" t="inlineStr"/>
      <c r="E9" s="9" t="inlineStr"/>
      <c r="F9" s="9" t="inlineStr"/>
      <c r="G9" s="9" t="inlineStr"/>
      <c r="I9" s="6" t="inlineStr">
        <is>
          <t>Executive - Organization-wide</t>
        </is>
      </c>
    </row>
    <row r="10">
      <c r="A10" s="9" t="n"/>
      <c r="B10" s="9" t="n"/>
      <c r="C10" s="9" t="n"/>
      <c r="D10" s="9" t="n"/>
      <c r="E10" s="9" t="n"/>
      <c r="F10" s="9" t="n"/>
      <c r="G10" s="9" t="n"/>
      <c r="I10" s="6" t="inlineStr">
        <is>
          <t>Project - Initiative leadership</t>
        </is>
      </c>
    </row>
    <row r="11">
      <c r="A11" s="9" t="n"/>
      <c r="B11" s="9" t="n"/>
      <c r="C11" s="9" t="n"/>
      <c r="D11" s="9" t="n"/>
      <c r="E11" s="9" t="n"/>
      <c r="F11" s="9" t="n"/>
      <c r="G11" s="9" t="n"/>
      <c r="I11" s="6" t="inlineStr">
        <is>
          <t>Department - Local advocacy</t>
        </is>
      </c>
    </row>
    <row r="12">
      <c r="A12" s="9" t="n"/>
      <c r="B12" s="9" t="n"/>
      <c r="C12" s="9" t="n"/>
      <c r="D12" s="9" t="n"/>
      <c r="E12" s="9" t="n"/>
      <c r="F12" s="9" t="n"/>
      <c r="G12" s="9" t="n"/>
    </row>
    <row r="13">
      <c r="A13" s="9" t="n"/>
      <c r="B13" s="9" t="n"/>
      <c r="C13" s="9" t="n"/>
      <c r="D13" s="9" t="n"/>
      <c r="E13" s="9" t="n"/>
      <c r="F13" s="9" t="n"/>
      <c r="G13" s="9" t="n"/>
      <c r="I13" s="4" t="inlineStr">
        <is>
          <t>KEY ACTIVITIES</t>
        </is>
      </c>
    </row>
    <row r="14">
      <c r="A14" s="9" t="n"/>
      <c r="B14" s="9" t="n"/>
      <c r="C14" s="9" t="n"/>
      <c r="D14" s="9" t="n"/>
      <c r="E14" s="9" t="n"/>
      <c r="F14" s="9" t="n"/>
      <c r="G14" s="9" t="n"/>
      <c r="I14" s="6" t="inlineStr">
        <is>
          <t>- Communicate vision</t>
        </is>
      </c>
    </row>
    <row r="15">
      <c r="A15" s="9" t="n"/>
      <c r="B15" s="9" t="n"/>
      <c r="C15" s="9" t="n"/>
      <c r="D15" s="9" t="n"/>
      <c r="E15" s="9" t="n"/>
      <c r="F15" s="9" t="n"/>
      <c r="G15" s="9" t="n"/>
      <c r="I15" s="6" t="inlineStr">
        <is>
          <t>- Build coalition</t>
        </is>
      </c>
    </row>
    <row r="16">
      <c r="A16" s="9" t="n"/>
      <c r="B16" s="9" t="n"/>
      <c r="C16" s="9" t="n"/>
      <c r="D16" s="9" t="n"/>
      <c r="E16" s="9" t="n"/>
      <c r="F16" s="9" t="n"/>
      <c r="G16" s="9" t="n"/>
      <c r="I16" s="6" t="inlineStr">
        <is>
          <t>- Remove barriers</t>
        </is>
      </c>
    </row>
    <row r="17">
      <c r="A17" s="9" t="n"/>
      <c r="B17" s="9" t="n"/>
      <c r="C17" s="9" t="n"/>
      <c r="D17" s="9" t="n"/>
      <c r="E17" s="9" t="n"/>
      <c r="F17" s="9" t="n"/>
      <c r="G17" s="9" t="n"/>
      <c r="I17" s="6" t="inlineStr">
        <is>
          <t>- Reinforce change</t>
        </is>
      </c>
    </row>
    <row r="18">
      <c r="A18" s="9" t="n"/>
      <c r="B18" s="9" t="n"/>
      <c r="C18" s="9" t="n"/>
      <c r="D18" s="9" t="n"/>
      <c r="E18" s="9" t="n"/>
      <c r="F18" s="9" t="n"/>
      <c r="G18" s="9" t="n"/>
      <c r="I18" s="6" t="inlineStr">
        <is>
          <t>- Manage resistance</t>
        </is>
      </c>
    </row>
    <row r="19">
      <c r="A19" s="9" t="n"/>
      <c r="B19" s="9" t="n"/>
      <c r="C19" s="9" t="n"/>
      <c r="D19" s="9" t="n"/>
      <c r="E19" s="9" t="n"/>
      <c r="F19" s="9" t="n"/>
      <c r="G19" s="9" t="n"/>
    </row>
    <row r="20">
      <c r="A20" s="9" t="n"/>
      <c r="B20" s="9" t="n"/>
      <c r="C20" s="9" t="n"/>
      <c r="D20" s="9" t="n"/>
      <c r="E20" s="9" t="n"/>
      <c r="F20" s="9" t="n"/>
      <c r="G20" s="9" t="n"/>
      <c r="I20" s="4" t="inlineStr">
        <is>
          <t>EFFECTIVENESS RATING</t>
        </is>
      </c>
    </row>
    <row r="21">
      <c r="A21" s="9" t="n"/>
      <c r="B21" s="9" t="n"/>
      <c r="C21" s="9" t="n"/>
      <c r="D21" s="9" t="n"/>
      <c r="E21" s="9" t="n"/>
      <c r="F21" s="9" t="n"/>
      <c r="G21" s="9" t="n"/>
      <c r="I21" s="6" t="inlineStr">
        <is>
          <t>Highly Effective - Visible impact</t>
        </is>
      </c>
    </row>
    <row r="22">
      <c r="A22" s="9" t="n"/>
      <c r="B22" s="9" t="n"/>
      <c r="C22" s="9" t="n"/>
      <c r="D22" s="9" t="n"/>
      <c r="E22" s="9" t="n"/>
      <c r="F22" s="9" t="n"/>
      <c r="G22" s="9" t="n"/>
      <c r="I22" s="6" t="inlineStr">
        <is>
          <t>Effective - Expected results</t>
        </is>
      </c>
    </row>
    <row r="23">
      <c r="A23" s="9" t="n"/>
      <c r="B23" s="9" t="n"/>
      <c r="C23" s="9" t="n"/>
      <c r="D23" s="9" t="n"/>
      <c r="E23" s="9" t="n"/>
      <c r="F23" s="9" t="n"/>
      <c r="G23" s="9" t="n"/>
      <c r="I23" s="6" t="inlineStr">
        <is>
          <t>Needs Improvement - Limited</t>
        </is>
      </c>
    </row>
    <row r="24">
      <c r="A24" s="9" t="n"/>
      <c r="B24" s="9" t="n"/>
      <c r="C24" s="9" t="n"/>
      <c r="D24" s="9" t="n"/>
      <c r="E24" s="9" t="n"/>
      <c r="F24" s="9" t="n"/>
      <c r="G24" s="9" t="n"/>
      <c r="I24" s="6" t="inlineStr">
        <is>
          <t>Ineffective - No visible support</t>
        </is>
      </c>
    </row>
    <row r="25">
      <c r="A25" s="9" t="n"/>
      <c r="B25" s="9" t="n"/>
      <c r="C25" s="9" t="n"/>
      <c r="D25" s="9" t="n"/>
      <c r="E25" s="9" t="n"/>
      <c r="F25" s="9" t="n"/>
      <c r="G25" s="9" t="n"/>
    </row>
    <row r="26">
      <c r="A26" s="9" t="n"/>
      <c r="B26" s="9" t="n"/>
      <c r="C26" s="9" t="n"/>
      <c r="D26" s="9" t="n"/>
      <c r="E26" s="9" t="n"/>
      <c r="F26" s="9" t="n"/>
      <c r="G26" s="9" t="n"/>
    </row>
    <row r="27">
      <c r="A27" s="9" t="n"/>
      <c r="B27" s="9" t="n"/>
      <c r="C27" s="9" t="n"/>
      <c r="D27" s="9" t="n"/>
      <c r="E27" s="9" t="n"/>
      <c r="F27" s="9" t="n"/>
      <c r="G27" s="9" t="n"/>
    </row>
    <row r="28">
      <c r="A28" s="9" t="n"/>
      <c r="B28" s="9" t="n"/>
      <c r="C28" s="9" t="n"/>
      <c r="D28" s="9" t="n"/>
      <c r="E28" s="9" t="n"/>
      <c r="F28" s="9" t="n"/>
      <c r="G28" s="9" t="n"/>
    </row>
    <row r="29">
      <c r="A29" s="9" t="n"/>
      <c r="B29" s="9" t="n"/>
      <c r="C29" s="9" t="n"/>
      <c r="D29" s="9" t="n"/>
      <c r="E29" s="9" t="n"/>
      <c r="F29" s="9" t="n"/>
      <c r="G29" s="9" t="n"/>
    </row>
  </sheetData>
  <mergeCells count="1">
    <mergeCell ref="I1:J1"/>
  </mergeCells>
  <dataValidations count="2">
    <dataValidation sqref="E3:E29" showDropDown="0" showInputMessage="0" showErrorMessage="0" allowBlank="1" type="list">
      <formula1>"Scheduled,Complete,Delayed,Cancelled"</formula1>
    </dataValidation>
    <dataValidation sqref="F3:F29" showDropDown="0" showInputMessage="0" showErrorMessage="0" allowBlank="1" type="list">
      <formula1>"Highly Effective,Effective,Needs Improvement,Ineffective"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2025-12-04T08:41:49Z</dcterms:created>
  <dcterms:modified xsi:type="dcterms:W3CDTF">2025-12-04T08:41:49Z</dcterms:modified>
</cp:coreProperties>
</file>